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My Documents\Certification School FY2018\Module 5 FY2018\"/>
    </mc:Choice>
  </mc:AlternateContent>
  <bookViews>
    <workbookView xWindow="0" yWindow="0" windowWidth="18915" windowHeight="10380"/>
  </bookViews>
  <sheets>
    <sheet name="Heating Values" sheetId="1" r:id="rId1"/>
    <sheet name="Heating Values Example" sheetId="7" r:id="rId2"/>
    <sheet name="G.C. Fidelity Check" sheetId="6" r:id="rId3"/>
    <sheet name="Sheet2" sheetId="2" state="hidden" r:id="rId4"/>
    <sheet name="Sheet3" sheetId="3" state="hidden" r:id="rId5"/>
    <sheet name="normalize" sheetId="4" state="hidden" r:id="rId6"/>
    <sheet name="Sheet4" sheetId="5" state="hidden" r:id="rId7"/>
  </sheets>
  <definedNames>
    <definedName name="_xlnm.Print_Area" localSheetId="0">'Heating Values'!$B$1:$H$31</definedName>
  </definedNames>
  <calcPr calcId="162913"/>
</workbook>
</file>

<file path=xl/calcChain.xml><?xml version="1.0" encoding="utf-8"?>
<calcChain xmlns="http://schemas.openxmlformats.org/spreadsheetml/2006/main">
  <c r="AD10" i="1" l="1"/>
  <c r="AQ10" i="1" s="1"/>
  <c r="AC10" i="1"/>
  <c r="BH10" i="1" s="1"/>
  <c r="AB10" i="1"/>
  <c r="AR10" i="1"/>
  <c r="AL10" i="1"/>
  <c r="AM10" i="1"/>
  <c r="AY10" i="1"/>
  <c r="AZ10" i="1" s="1"/>
  <c r="AP10" i="1" l="1"/>
  <c r="BF10" i="1"/>
  <c r="BK10" i="1"/>
  <c r="BI10" i="1"/>
  <c r="BB10" i="1"/>
  <c r="BE10" i="1"/>
  <c r="AN10" i="1"/>
  <c r="AK10" i="1"/>
  <c r="AT10" i="1"/>
  <c r="AO10" i="1"/>
  <c r="BP10" i="1"/>
  <c r="BQ10" i="1" s="1"/>
  <c r="BC10" i="1"/>
  <c r="BG10" i="1"/>
  <c r="BD10" i="1"/>
  <c r="AS10" i="1" l="1"/>
  <c r="BJ10" i="1"/>
  <c r="BL10" i="1" s="1"/>
  <c r="BM10" i="1" s="1"/>
  <c r="BN10" i="1" s="1"/>
  <c r="BO10" i="1" s="1"/>
  <c r="AG10" i="1" s="1"/>
  <c r="AU10" i="1"/>
  <c r="AH10" i="1" l="1"/>
  <c r="AV10" i="1"/>
  <c r="AW10" i="1" s="1"/>
  <c r="AF10" i="1" l="1"/>
  <c r="C29" i="1" s="1"/>
  <c r="AX10" i="1"/>
  <c r="AE10" i="1" s="1"/>
  <c r="AI10" i="1" s="1"/>
  <c r="H29" i="1" l="1"/>
  <c r="L1" i="1" l="1"/>
  <c r="J1" i="1"/>
  <c r="I1" i="1"/>
  <c r="G22" i="6" l="1"/>
  <c r="E22" i="6"/>
  <c r="G21" i="6"/>
  <c r="E21" i="6"/>
  <c r="G20" i="6"/>
  <c r="E20" i="6"/>
  <c r="G19" i="6"/>
  <c r="E19" i="6"/>
  <c r="G18" i="6"/>
  <c r="E18" i="6"/>
  <c r="G17" i="6"/>
  <c r="E17" i="6"/>
  <c r="G16" i="6"/>
  <c r="E16" i="6"/>
  <c r="G15" i="6"/>
  <c r="E15" i="6"/>
  <c r="G14" i="6"/>
  <c r="E14" i="6"/>
  <c r="G13" i="6"/>
  <c r="E13" i="6"/>
  <c r="G12" i="6"/>
  <c r="E12" i="6"/>
  <c r="G11" i="6"/>
  <c r="E11" i="6"/>
  <c r="G10" i="6"/>
  <c r="E10" i="6"/>
  <c r="G9" i="6"/>
  <c r="E9" i="6"/>
  <c r="G8" i="6"/>
  <c r="E8" i="6"/>
  <c r="G7" i="6"/>
  <c r="E7" i="6"/>
  <c r="G6" i="6"/>
  <c r="E6" i="6"/>
  <c r="V1" i="1" l="1"/>
  <c r="V27" i="1" s="1"/>
  <c r="C30" i="1" l="1"/>
  <c r="H21" i="1" s="1"/>
  <c r="P29" i="1"/>
  <c r="P28" i="1" s="1"/>
  <c r="C27" i="4"/>
  <c r="V28" i="1" l="1"/>
  <c r="T27" i="1"/>
  <c r="S27" i="1"/>
  <c r="R27" i="1"/>
  <c r="V7" i="1" l="1"/>
  <c r="V10" i="1"/>
  <c r="V14" i="1"/>
  <c r="V18" i="1"/>
  <c r="V22" i="1"/>
  <c r="V26" i="1"/>
  <c r="V11" i="1"/>
  <c r="V15" i="1"/>
  <c r="V19" i="1"/>
  <c r="V23" i="1"/>
  <c r="V8" i="1"/>
  <c r="W8" i="1" s="1"/>
  <c r="V12" i="1"/>
  <c r="V16" i="1"/>
  <c r="V20" i="1"/>
  <c r="V24" i="1"/>
  <c r="V9" i="1"/>
  <c r="V13" i="1"/>
  <c r="V17" i="1"/>
  <c r="V21" i="1"/>
  <c r="V25" i="1"/>
  <c r="D29" i="1"/>
  <c r="Z3" i="1"/>
  <c r="D10" i="1" s="1"/>
  <c r="Q9" i="1"/>
  <c r="R9" i="1" s="1"/>
  <c r="Q10" i="1"/>
  <c r="Q15" i="1"/>
  <c r="Q20" i="1"/>
  <c r="Q26" i="1"/>
  <c r="Q7" i="1"/>
  <c r="Q11" i="1"/>
  <c r="Q16" i="1"/>
  <c r="Q22" i="1"/>
  <c r="Q12" i="1"/>
  <c r="Q18" i="1"/>
  <c r="S18" i="1" s="1"/>
  <c r="Q23" i="1"/>
  <c r="Q8" i="1"/>
  <c r="R8" i="1" s="1"/>
  <c r="Q14" i="1"/>
  <c r="S14" i="1" s="1"/>
  <c r="Q19" i="1"/>
  <c r="Q24" i="1"/>
  <c r="Q25" i="1"/>
  <c r="Q21" i="1"/>
  <c r="Q17" i="1"/>
  <c r="Q13" i="1"/>
  <c r="E6" i="5"/>
  <c r="E7" i="5"/>
  <c r="E8" i="5"/>
  <c r="E9" i="5"/>
  <c r="E10" i="5"/>
  <c r="E5" i="5"/>
  <c r="D6" i="5"/>
  <c r="D7" i="5"/>
  <c r="D8" i="5"/>
  <c r="D9" i="5"/>
  <c r="D10" i="5"/>
  <c r="D5" i="5"/>
  <c r="V29" i="1" l="1"/>
  <c r="W7" i="1"/>
  <c r="R18" i="1"/>
  <c r="D18" i="1"/>
  <c r="N16" i="1" s="1"/>
  <c r="D23" i="1"/>
  <c r="M21" i="1" s="1"/>
  <c r="D15" i="1"/>
  <c r="N13" i="1" s="1"/>
  <c r="D21" i="1"/>
  <c r="N19" i="1" s="1"/>
  <c r="D20" i="1"/>
  <c r="O18" i="1" s="1"/>
  <c r="D19" i="1"/>
  <c r="N17" i="1" s="1"/>
  <c r="D9" i="1"/>
  <c r="D28" i="1"/>
  <c r="M26" i="1" s="1"/>
  <c r="D26" i="1"/>
  <c r="M24" i="1" s="1"/>
  <c r="D12" i="1"/>
  <c r="O10" i="1" s="1"/>
  <c r="D17" i="1"/>
  <c r="D11" i="1"/>
  <c r="M9" i="1" s="1"/>
  <c r="D13" i="1"/>
  <c r="N11" i="1" s="1"/>
  <c r="D16" i="1"/>
  <c r="M14" i="1" s="1"/>
  <c r="D25" i="1"/>
  <c r="O23" i="1" s="1"/>
  <c r="D27" i="1"/>
  <c r="N25" i="1" s="1"/>
  <c r="D22" i="1"/>
  <c r="N20" i="1" s="1"/>
  <c r="D24" i="1"/>
  <c r="M22" i="1" s="1"/>
  <c r="D14" i="1"/>
  <c r="O12" i="1" s="1"/>
  <c r="S8" i="1"/>
  <c r="S9" i="1"/>
  <c r="T24" i="1"/>
  <c r="R16" i="1"/>
  <c r="S19" i="1"/>
  <c r="T18" i="1"/>
  <c r="T8" i="1"/>
  <c r="T9" i="1"/>
  <c r="T14" i="1"/>
  <c r="N27" i="1"/>
  <c r="O27" i="1"/>
  <c r="M27" i="1"/>
  <c r="N8" i="1"/>
  <c r="O8" i="1"/>
  <c r="M8" i="1"/>
  <c r="W11" i="1"/>
  <c r="W19" i="1"/>
  <c r="Y23" i="1"/>
  <c r="X8" i="1"/>
  <c r="W12" i="1"/>
  <c r="X16" i="1"/>
  <c r="W20" i="1"/>
  <c r="W24" i="1"/>
  <c r="W9" i="1"/>
  <c r="Y13" i="1"/>
  <c r="W17" i="1"/>
  <c r="X21" i="1"/>
  <c r="W25" i="1"/>
  <c r="W10" i="1"/>
  <c r="W14" i="1"/>
  <c r="W18" i="1"/>
  <c r="W22" i="1"/>
  <c r="W26" i="1"/>
  <c r="R24" i="1"/>
  <c r="S24" i="1"/>
  <c r="R14" i="1"/>
  <c r="T19" i="1"/>
  <c r="T12" i="1"/>
  <c r="S12" i="1"/>
  <c r="T7" i="1"/>
  <c r="S7" i="1"/>
  <c r="R7" i="1"/>
  <c r="T20" i="1"/>
  <c r="S20" i="1"/>
  <c r="R12" i="1"/>
  <c r="S22" i="1"/>
  <c r="T22" i="1"/>
  <c r="R22" i="1"/>
  <c r="R19" i="1"/>
  <c r="S23" i="1"/>
  <c r="R23" i="1"/>
  <c r="T23" i="1"/>
  <c r="T16" i="1"/>
  <c r="S16" i="1"/>
  <c r="S10" i="1"/>
  <c r="R10" i="1"/>
  <c r="T10" i="1"/>
  <c r="R20" i="1"/>
  <c r="T11" i="1"/>
  <c r="S11" i="1"/>
  <c r="R11" i="1"/>
  <c r="S26" i="1"/>
  <c r="T26" i="1"/>
  <c r="R26" i="1"/>
  <c r="S13" i="1"/>
  <c r="Q29" i="1"/>
  <c r="T13" i="1"/>
  <c r="R13" i="1"/>
  <c r="S21" i="1"/>
  <c r="T21" i="1"/>
  <c r="R21" i="1"/>
  <c r="S17" i="1"/>
  <c r="T17" i="1"/>
  <c r="R17" i="1"/>
  <c r="S25" i="1"/>
  <c r="T25" i="1"/>
  <c r="R25" i="1"/>
  <c r="B29" i="4"/>
  <c r="C7" i="4" s="1"/>
  <c r="M7" i="1" l="1"/>
  <c r="D30" i="1"/>
  <c r="M16" i="1"/>
  <c r="O20" i="1"/>
  <c r="O26" i="1"/>
  <c r="O16" i="1"/>
  <c r="M11" i="1"/>
  <c r="N18" i="1"/>
  <c r="M20" i="1"/>
  <c r="M17" i="1"/>
  <c r="M19" i="1"/>
  <c r="O21" i="1"/>
  <c r="N9" i="1"/>
  <c r="M13" i="1"/>
  <c r="O24" i="1"/>
  <c r="M23" i="1"/>
  <c r="N23" i="1"/>
  <c r="O7" i="1"/>
  <c r="N24" i="1"/>
  <c r="N7" i="1"/>
  <c r="O13" i="1"/>
  <c r="N21" i="1"/>
  <c r="O14" i="1"/>
  <c r="O9" i="1"/>
  <c r="O19" i="1"/>
  <c r="N26" i="1"/>
  <c r="N10" i="1"/>
  <c r="O17" i="1"/>
  <c r="M18" i="1"/>
  <c r="M10" i="1"/>
  <c r="O22" i="1"/>
  <c r="N14" i="1"/>
  <c r="O11" i="1"/>
  <c r="M25" i="1"/>
  <c r="N12" i="1"/>
  <c r="O25" i="1"/>
  <c r="N22" i="1"/>
  <c r="M12" i="1"/>
  <c r="Y8" i="1"/>
  <c r="X20" i="1"/>
  <c r="X7" i="1"/>
  <c r="Y14" i="1"/>
  <c r="Y7" i="1"/>
  <c r="Y11" i="1"/>
  <c r="X14" i="1"/>
  <c r="Y20" i="1"/>
  <c r="X19" i="1"/>
  <c r="Y19" i="1"/>
  <c r="Y18" i="1"/>
  <c r="Y21" i="1"/>
  <c r="X17" i="1"/>
  <c r="X11" i="1"/>
  <c r="X24" i="1"/>
  <c r="Y16" i="1"/>
  <c r="Y22" i="1"/>
  <c r="Y17" i="1"/>
  <c r="Y12" i="1"/>
  <c r="W23" i="1"/>
  <c r="X23" i="1"/>
  <c r="W21" i="1"/>
  <c r="Y24" i="1"/>
  <c r="X26" i="1"/>
  <c r="X10" i="1"/>
  <c r="X25" i="1"/>
  <c r="X9" i="1"/>
  <c r="W16" i="1"/>
  <c r="Y26" i="1"/>
  <c r="Y10" i="1"/>
  <c r="X13" i="1"/>
  <c r="X22" i="1"/>
  <c r="Y25" i="1"/>
  <c r="Y9" i="1"/>
  <c r="X12" i="1"/>
  <c r="X18" i="1"/>
  <c r="W13" i="1"/>
  <c r="X27" i="1"/>
  <c r="W27" i="1"/>
  <c r="Y27" i="1"/>
  <c r="C9" i="4"/>
  <c r="C24" i="4" l="1"/>
  <c r="C19" i="4"/>
  <c r="C14" i="4"/>
  <c r="C8" i="4"/>
  <c r="B30" i="4"/>
  <c r="C23" i="4"/>
  <c r="C18" i="4"/>
  <c r="C12" i="4"/>
  <c r="C22" i="4"/>
  <c r="C16" i="4"/>
  <c r="C11" i="4"/>
  <c r="C26" i="4"/>
  <c r="C20" i="4"/>
  <c r="C15" i="4"/>
  <c r="C10" i="4"/>
  <c r="C25" i="4"/>
  <c r="C21" i="4"/>
  <c r="C17" i="4"/>
  <c r="C13" i="4"/>
  <c r="B29" i="3"/>
  <c r="J27" i="3"/>
  <c r="I27" i="3"/>
  <c r="H27" i="3"/>
  <c r="J26" i="3"/>
  <c r="I26" i="3"/>
  <c r="H26" i="3"/>
  <c r="J25" i="3"/>
  <c r="I25" i="3"/>
  <c r="H25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H15" i="3"/>
  <c r="F15" i="3"/>
  <c r="J15" i="3" s="1"/>
  <c r="E15" i="3"/>
  <c r="I15" i="3" s="1"/>
  <c r="D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J29" i="3" s="1"/>
  <c r="D33" i="3" s="1"/>
  <c r="I7" i="3"/>
  <c r="H7" i="3"/>
  <c r="C29" i="4" l="1"/>
  <c r="H29" i="3"/>
  <c r="D31" i="3" s="1"/>
  <c r="D35" i="3" s="1"/>
  <c r="I29" i="3"/>
  <c r="D32" i="3" s="1"/>
  <c r="D36" i="3" s="1"/>
  <c r="B29" i="2"/>
  <c r="J27" i="2"/>
  <c r="I27" i="2"/>
  <c r="H27" i="2"/>
  <c r="J26" i="2"/>
  <c r="I26" i="2"/>
  <c r="H26" i="2"/>
  <c r="J25" i="2"/>
  <c r="I25" i="2"/>
  <c r="H25" i="2"/>
  <c r="J24" i="2"/>
  <c r="I24" i="2"/>
  <c r="H24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F15" i="2"/>
  <c r="J15" i="2" s="1"/>
  <c r="E15" i="2"/>
  <c r="I15" i="2" s="1"/>
  <c r="D15" i="2"/>
  <c r="H15" i="2" s="1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  <c r="K15" i="1"/>
  <c r="J15" i="1"/>
  <c r="I15" i="1"/>
  <c r="O15" i="1" l="1"/>
  <c r="O29" i="1" s="1"/>
  <c r="H19" i="1" s="1"/>
  <c r="T15" i="1"/>
  <c r="T29" i="1" s="1"/>
  <c r="S33" i="1" s="1"/>
  <c r="Y15" i="1"/>
  <c r="Y29" i="1" s="1"/>
  <c r="Z33" i="1" s="1"/>
  <c r="R15" i="1"/>
  <c r="R29" i="1" s="1"/>
  <c r="S31" i="1" s="1"/>
  <c r="M15" i="1"/>
  <c r="M29" i="1" s="1"/>
  <c r="H17" i="1" s="1"/>
  <c r="W15" i="1"/>
  <c r="W29" i="1" s="1"/>
  <c r="Z31" i="1" s="1"/>
  <c r="Z35" i="1" s="1"/>
  <c r="N15" i="1"/>
  <c r="N29" i="1" s="1"/>
  <c r="H18" i="1" s="1"/>
  <c r="S15" i="1"/>
  <c r="S29" i="1" s="1"/>
  <c r="S32" i="1" s="1"/>
  <c r="X15" i="1"/>
  <c r="X29" i="1" s="1"/>
  <c r="Z32" i="1" s="1"/>
  <c r="Z36" i="1" s="1"/>
  <c r="H29" i="2"/>
  <c r="D31" i="2" s="1"/>
  <c r="J29" i="2"/>
  <c r="D33" i="2" s="1"/>
  <c r="I29" i="2"/>
  <c r="D32" i="2" s="1"/>
  <c r="S36" i="1" l="1"/>
  <c r="H14" i="1" s="1"/>
  <c r="S35" i="1"/>
  <c r="H11" i="1"/>
  <c r="H12" i="1"/>
  <c r="H16" i="1"/>
  <c r="D36" i="2"/>
  <c r="D35" i="2"/>
  <c r="H13" i="1" l="1"/>
  <c r="H30" i="1" s="1"/>
  <c r="H15" i="1"/>
</calcChain>
</file>

<file path=xl/sharedStrings.xml><?xml version="1.0" encoding="utf-8"?>
<sst xmlns="http://schemas.openxmlformats.org/spreadsheetml/2006/main" count="309" uniqueCount="131">
  <si>
    <t>GPA 2145</t>
  </si>
  <si>
    <t>Ideal</t>
  </si>
  <si>
    <t>Molar</t>
  </si>
  <si>
    <t>b</t>
  </si>
  <si>
    <t>Total</t>
  </si>
  <si>
    <t>Component</t>
  </si>
  <si>
    <t>mol%</t>
  </si>
  <si>
    <t>HV</t>
  </si>
  <si>
    <t>mass</t>
  </si>
  <si>
    <t>Methane</t>
  </si>
  <si>
    <t>Ethane</t>
  </si>
  <si>
    <t>Propane</t>
  </si>
  <si>
    <t>I-Butane</t>
  </si>
  <si>
    <t>n-Butane</t>
  </si>
  <si>
    <t>i-pentane</t>
  </si>
  <si>
    <t>n-pentane</t>
  </si>
  <si>
    <t>Hexane</t>
  </si>
  <si>
    <t>Hexane +</t>
  </si>
  <si>
    <t>Heptane</t>
  </si>
  <si>
    <t>Octane</t>
  </si>
  <si>
    <t>Nonane</t>
  </si>
  <si>
    <t>Decane</t>
  </si>
  <si>
    <t>Ethylene</t>
  </si>
  <si>
    <t>Propylene</t>
  </si>
  <si>
    <t>CO2</t>
  </si>
  <si>
    <t>H2S</t>
  </si>
  <si>
    <t>Nitrogen</t>
  </si>
  <si>
    <t>Oxygen</t>
  </si>
  <si>
    <t>Helium</t>
  </si>
  <si>
    <t>Water</t>
  </si>
  <si>
    <t>Sums</t>
  </si>
  <si>
    <t xml:space="preserve">Ideal Heating Value: </t>
  </si>
  <si>
    <t>Ideal Gravity:</t>
  </si>
  <si>
    <t>Zb-gas</t>
  </si>
  <si>
    <t>Zb-air</t>
  </si>
  <si>
    <t>Real Heating Value:</t>
  </si>
  <si>
    <t>Relative Density:</t>
  </si>
  <si>
    <t xml:space="preserve">              GPA 2145 Values</t>
  </si>
  <si>
    <t>Heating Value and Relative Density Calculation</t>
  </si>
  <si>
    <t>Calculations done per GPA 2172-09</t>
  </si>
  <si>
    <t>Un-norm</t>
  </si>
  <si>
    <t>Norm</t>
  </si>
  <si>
    <t>Sums (non H2O)</t>
  </si>
  <si>
    <t>&lt;--not normalized</t>
  </si>
  <si>
    <t>Normalized mol%</t>
  </si>
  <si>
    <t>Unnormalized mol%</t>
  </si>
  <si>
    <t>DRY</t>
  </si>
  <si>
    <t>WET</t>
  </si>
  <si>
    <t>True Relative Density:</t>
  </si>
  <si>
    <t>Dry Relative Density:</t>
  </si>
  <si>
    <t>Dry Real Heating Value:</t>
  </si>
  <si>
    <t>True Real Heating Value:</t>
  </si>
  <si>
    <t>Wet Real Heating Value:</t>
  </si>
  <si>
    <t>Wet Relative Density:</t>
  </si>
  <si>
    <t>Calculations done per GPA 2172-09 w/ GPA 2145 Factors</t>
  </si>
  <si>
    <t>Zb (Compression factor) -gas</t>
  </si>
  <si>
    <t>Zb (Compression Factor) -air</t>
  </si>
  <si>
    <t>Assumed Wet Real Heating Value:</t>
  </si>
  <si>
    <t>Assumed Wet Relative Density:</t>
  </si>
  <si>
    <t>Dry Heating Value from Gas Analysis:</t>
  </si>
  <si>
    <t>True BTU Using Dry Value from BLM Calc:</t>
  </si>
  <si>
    <t>True BTU Using Dry Value from Operator:</t>
  </si>
  <si>
    <t>API 14.5 Annex C Method</t>
  </si>
  <si>
    <t>Only Use for Checking Gas Chromatograph Verification</t>
  </si>
  <si>
    <t>G.C. Verification Fidelity Check</t>
  </si>
  <si>
    <t>Linear Line on Graph Should Not Be Less Than ~0.99 - If so Likely Issue with Column, Verification Gas, or Detector</t>
  </si>
  <si>
    <t>Molecule</t>
  </si>
  <si>
    <t>Resp. Factor</t>
  </si>
  <si>
    <t>Log Factor</t>
  </si>
  <si>
    <t>Mol. Weight</t>
  </si>
  <si>
    <t>Log Weight</t>
  </si>
  <si>
    <t>Fidelity Graph</t>
  </si>
  <si>
    <t>Carbon Mon.</t>
  </si>
  <si>
    <t>Iso-butane</t>
  </si>
  <si>
    <t>n-butane</t>
  </si>
  <si>
    <t>iso-pentane</t>
  </si>
  <si>
    <t>n-hexane</t>
  </si>
  <si>
    <t>n-heptane</t>
  </si>
  <si>
    <t>n-octane</t>
  </si>
  <si>
    <t>n-nonane</t>
  </si>
  <si>
    <t>n-decane</t>
  </si>
  <si>
    <r>
      <t>Water Vapor in mg/m</t>
    </r>
    <r>
      <rPr>
        <vertAlign val="superscript"/>
        <sz val="11"/>
        <color theme="1"/>
        <rFont val="Calibri"/>
        <family val="2"/>
        <scheme val="minor"/>
      </rPr>
      <t>3</t>
    </r>
  </si>
  <si>
    <t>Water Vapor in lbs/MMscf</t>
  </si>
  <si>
    <t>Norm. Factor</t>
  </si>
  <si>
    <t>Only use to check if the operator is using this method</t>
  </si>
  <si>
    <t>This calculation is not the proper method</t>
  </si>
  <si>
    <t>Heating Value and Relative Density Calculator</t>
  </si>
  <si>
    <t>Results</t>
  </si>
  <si>
    <t>Unnormalized Sum Within 3% of 100%?        43 CFR 3175.118(b)</t>
  </si>
  <si>
    <t>Water Saturation</t>
  </si>
  <si>
    <t>Calculations based on IGT Bulletin No. 8. Water saturation calculated per "Steam Tables", Keenen, Keyes, Hill, and Moore</t>
  </si>
  <si>
    <t>Input Data</t>
  </si>
  <si>
    <t>Tcritical</t>
  </si>
  <si>
    <t>Pcritical</t>
  </si>
  <si>
    <t>MWwater</t>
  </si>
  <si>
    <t>Zwater</t>
  </si>
  <si>
    <t>Std. Press</t>
  </si>
  <si>
    <t>Std. Temp</t>
  </si>
  <si>
    <t>R</t>
  </si>
  <si>
    <t>deg R</t>
  </si>
  <si>
    <t>Actual</t>
  </si>
  <si>
    <t>Saturation</t>
  </si>
  <si>
    <t>Flowing</t>
  </si>
  <si>
    <t>water</t>
  </si>
  <si>
    <t>IGT 8</t>
  </si>
  <si>
    <t>Meter ID</t>
  </si>
  <si>
    <t>Pressure</t>
  </si>
  <si>
    <t>Temp.</t>
  </si>
  <si>
    <t>Dewpoint</t>
  </si>
  <si>
    <t>Content</t>
  </si>
  <si>
    <t>Level</t>
  </si>
  <si>
    <t>Sum</t>
  </si>
  <si>
    <t>Tau</t>
  </si>
  <si>
    <t>K</t>
  </si>
  <si>
    <t>Psat</t>
  </si>
  <si>
    <t>fraction</t>
  </si>
  <si>
    <t>content</t>
  </si>
  <si>
    <t>correction</t>
  </si>
  <si>
    <t>(psia)</t>
  </si>
  <si>
    <t>(deg F)</t>
  </si>
  <si>
    <t>(lb/MMcf)</t>
  </si>
  <si>
    <t>(mole%)</t>
  </si>
  <si>
    <t>(lbs/MMcf)</t>
  </si>
  <si>
    <t>(%)</t>
  </si>
  <si>
    <t>(mole frac)</t>
  </si>
  <si>
    <t>If Using Dewpoint, Enter Flowing Temp &amp; Pressure Below</t>
  </si>
  <si>
    <t>Input</t>
  </si>
  <si>
    <t>Flowing Pressure (PSIA):</t>
  </si>
  <si>
    <t>Flowing Temperature (deg F):</t>
  </si>
  <si>
    <t>Dewpoint (deg F)</t>
  </si>
  <si>
    <r>
      <rPr>
        <b/>
        <u/>
        <sz val="14"/>
        <color theme="1"/>
        <rFont val="Calibri"/>
        <family val="2"/>
        <scheme val="minor"/>
      </rPr>
      <t>Instructions:</t>
    </r>
    <r>
      <rPr>
        <b/>
        <sz val="14"/>
        <color theme="1"/>
        <rFont val="Calibri"/>
        <family val="2"/>
        <scheme val="minor"/>
      </rPr>
      <t xml:space="preserve"> Choose from the drop down which standard measurement of water vapor content was used then enter the measured value in the box below.  Enter in the unnormalized mol% section the numbers from the unnormalized section of the gas analysis, or use the numbers from the normalized section if unnormalized is unavailable.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</si>
</sst>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"/>
    <numFmt numFmtId="165" formatCode="0.0000"/>
    <numFmt numFmtId="166" formatCode="0.0"/>
    <numFmt numFmtId="167" formatCode="0.00000"/>
    <numFmt numFmtId="168" formatCode="#,##0.00000"/>
    <numFmt numFmtId="169" formatCode="#,##0.0000"/>
    <numFmt numFmtId="170" formatCode="#,##0.000000"/>
    <numFmt numFmtId="171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Wingdings"/>
      <charset val="2"/>
    </font>
    <font>
      <b/>
      <u/>
      <sz val="14"/>
      <name val="Arial"/>
      <family val="2"/>
    </font>
    <font>
      <b/>
      <sz val="10"/>
      <name val="Arial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.7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lightUp">
        <fgColor theme="1" tint="0.499984740745262"/>
        <bgColor indexed="65"/>
      </patternFill>
    </fill>
    <fill>
      <patternFill patternType="solid">
        <fgColor rgb="FFD34D4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164" fontId="0" fillId="3" borderId="0" xfId="0" applyNumberFormat="1" applyFill="1"/>
    <xf numFmtId="0" fontId="0" fillId="3" borderId="0" xfId="0" applyFill="1"/>
    <xf numFmtId="164" fontId="0" fillId="4" borderId="0" xfId="0" applyNumberFormat="1" applyFill="1"/>
    <xf numFmtId="0" fontId="0" fillId="4" borderId="0" xfId="0" applyFill="1"/>
    <xf numFmtId="165" fontId="0" fillId="0" borderId="0" xfId="0" applyNumberFormat="1"/>
    <xf numFmtId="165" fontId="1" fillId="0" borderId="0" xfId="0" applyNumberFormat="1" applyFont="1"/>
    <xf numFmtId="166" fontId="0" fillId="3" borderId="0" xfId="0" applyNumberFormat="1" applyFill="1"/>
    <xf numFmtId="165" fontId="0" fillId="3" borderId="0" xfId="0" applyNumberFormat="1" applyFill="1"/>
    <xf numFmtId="165" fontId="0" fillId="2" borderId="0" xfId="0" applyNumberFormat="1" applyFill="1" applyProtection="1">
      <protection locked="0"/>
    </xf>
    <xf numFmtId="166" fontId="0" fillId="0" borderId="0" xfId="0" applyNumberFormat="1" applyFill="1"/>
    <xf numFmtId="165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165" fontId="0" fillId="5" borderId="0" xfId="0" applyNumberFormat="1" applyFill="1" applyProtection="1">
      <protection locked="0"/>
    </xf>
    <xf numFmtId="164" fontId="0" fillId="5" borderId="0" xfId="0" applyNumberFormat="1" applyFill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right"/>
    </xf>
    <xf numFmtId="0" fontId="3" fillId="0" borderId="0" xfId="0" applyFont="1"/>
    <xf numFmtId="165" fontId="0" fillId="0" borderId="0" xfId="0" applyNumberFormat="1" applyFill="1" applyProtection="1">
      <protection locked="0"/>
    </xf>
    <xf numFmtId="167" fontId="0" fillId="0" borderId="0" xfId="0" applyNumberFormat="1"/>
    <xf numFmtId="165" fontId="0" fillId="0" borderId="5" xfId="0" applyNumberFormat="1" applyBorder="1"/>
    <xf numFmtId="165" fontId="1" fillId="7" borderId="5" xfId="0" applyNumberFormat="1" applyFont="1" applyFill="1" applyBorder="1"/>
    <xf numFmtId="0" fontId="0" fillId="0" borderId="9" xfId="0" applyBorder="1" applyAlignment="1">
      <alignment horizontal="right"/>
    </xf>
    <xf numFmtId="0" fontId="0" fillId="6" borderId="6" xfId="0" applyFill="1" applyBorder="1"/>
    <xf numFmtId="165" fontId="0" fillId="2" borderId="5" xfId="0" applyNumberFormat="1" applyFont="1" applyFill="1" applyBorder="1"/>
    <xf numFmtId="3" fontId="0" fillId="0" borderId="0" xfId="0" applyNumberFormat="1"/>
    <xf numFmtId="2" fontId="10" fillId="0" borderId="0" xfId="0" applyNumberFormat="1" applyFont="1" applyFill="1" applyBorder="1" applyAlignment="1" applyProtection="1"/>
    <xf numFmtId="2" fontId="10" fillId="0" borderId="0" xfId="0" applyNumberFormat="1" applyFont="1" applyFill="1" applyBorder="1" applyProtection="1"/>
    <xf numFmtId="0" fontId="0" fillId="0" borderId="0" xfId="0" applyBorder="1"/>
    <xf numFmtId="165" fontId="0" fillId="5" borderId="15" xfId="0" applyNumberFormat="1" applyFill="1" applyBorder="1" applyProtection="1">
      <protection locked="0"/>
    </xf>
    <xf numFmtId="165" fontId="0" fillId="5" borderId="17" xfId="0" applyNumberFormat="1" applyFill="1" applyBorder="1" applyProtection="1">
      <protection locked="0"/>
    </xf>
    <xf numFmtId="0" fontId="0" fillId="0" borderId="19" xfId="0" applyBorder="1" applyAlignment="1">
      <alignment horizontal="right"/>
    </xf>
    <xf numFmtId="165" fontId="0" fillId="5" borderId="20" xfId="0" applyNumberFormat="1" applyFill="1" applyBorder="1" applyProtection="1">
      <protection locked="0"/>
    </xf>
    <xf numFmtId="0" fontId="0" fillId="0" borderId="0" xfId="0" applyFill="1" applyBorder="1"/>
    <xf numFmtId="3" fontId="0" fillId="0" borderId="0" xfId="0" applyNumberFormat="1" applyFill="1" applyBorder="1"/>
    <xf numFmtId="2" fontId="10" fillId="0" borderId="0" xfId="0" applyNumberFormat="1" applyFont="1" applyFill="1" applyBorder="1" applyAlignment="1" applyProtection="1">
      <alignment horizontal="center"/>
    </xf>
    <xf numFmtId="168" fontId="0" fillId="0" borderId="0" xfId="0" applyNumberFormat="1" applyFill="1" applyBorder="1" applyAlignment="1"/>
    <xf numFmtId="169" fontId="0" fillId="0" borderId="0" xfId="0" applyNumberFormat="1" applyFill="1" applyBorder="1"/>
    <xf numFmtId="170" fontId="0" fillId="0" borderId="0" xfId="0" applyNumberFormat="1" applyFill="1" applyBorder="1"/>
    <xf numFmtId="171" fontId="0" fillId="0" borderId="0" xfId="0" applyNumberFormat="1" applyFill="1" applyBorder="1"/>
    <xf numFmtId="3" fontId="8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164" fontId="0" fillId="0" borderId="5" xfId="0" applyNumberFormat="1" applyBorder="1"/>
    <xf numFmtId="164" fontId="0" fillId="2" borderId="5" xfId="0" applyNumberFormat="1" applyFont="1" applyFill="1" applyBorder="1"/>
    <xf numFmtId="0" fontId="0" fillId="0" borderId="0" xfId="0" applyFont="1" applyBorder="1" applyAlignment="1">
      <alignment horizontal="right"/>
    </xf>
    <xf numFmtId="165" fontId="0" fillId="0" borderId="0" xfId="0" applyNumberFormat="1" applyFont="1" applyFill="1" applyBorder="1"/>
    <xf numFmtId="2" fontId="10" fillId="0" borderId="1" xfId="0" applyNumberFormat="1" applyFont="1" applyFill="1" applyBorder="1" applyProtection="1"/>
    <xf numFmtId="2" fontId="10" fillId="0" borderId="1" xfId="0" applyNumberFormat="1" applyFont="1" applyFill="1" applyBorder="1" applyAlignment="1" applyProtection="1">
      <alignment horizontal="center"/>
    </xf>
    <xf numFmtId="3" fontId="11" fillId="0" borderId="1" xfId="0" applyNumberFormat="1" applyFont="1" applyBorder="1" applyAlignment="1">
      <alignment horizontal="center"/>
    </xf>
    <xf numFmtId="3" fontId="11" fillId="0" borderId="1" xfId="0" applyNumberFormat="1" applyFont="1" applyBorder="1"/>
    <xf numFmtId="168" fontId="0" fillId="5" borderId="25" xfId="0" applyNumberFormat="1" applyFill="1" applyBorder="1" applyAlignment="1"/>
    <xf numFmtId="3" fontId="0" fillId="5" borderId="14" xfId="0" applyNumberFormat="1" applyFill="1" applyBorder="1"/>
    <xf numFmtId="168" fontId="0" fillId="8" borderId="14" xfId="0" applyNumberFormat="1" applyFill="1" applyBorder="1" applyAlignment="1"/>
    <xf numFmtId="169" fontId="0" fillId="0" borderId="14" xfId="0" applyNumberFormat="1" applyBorder="1"/>
    <xf numFmtId="170" fontId="0" fillId="8" borderId="26" xfId="0" applyNumberFormat="1" applyFill="1" applyBorder="1"/>
    <xf numFmtId="168" fontId="0" fillId="5" borderId="10" xfId="0" applyNumberFormat="1" applyFill="1" applyBorder="1" applyAlignment="1"/>
    <xf numFmtId="3" fontId="0" fillId="5" borderId="5" xfId="0" applyNumberFormat="1" applyFill="1" applyBorder="1"/>
    <xf numFmtId="168" fontId="0" fillId="8" borderId="5" xfId="0" applyNumberFormat="1" applyFill="1" applyBorder="1" applyAlignment="1"/>
    <xf numFmtId="169" fontId="0" fillId="0" borderId="5" xfId="0" applyNumberFormat="1" applyBorder="1"/>
    <xf numFmtId="170" fontId="0" fillId="8" borderId="27" xfId="0" applyNumberFormat="1" applyFill="1" applyBorder="1"/>
    <xf numFmtId="3" fontId="0" fillId="0" borderId="0" xfId="0" applyNumberFormat="1" applyFill="1"/>
    <xf numFmtId="168" fontId="0" fillId="5" borderId="28" xfId="0" applyNumberFormat="1" applyFill="1" applyBorder="1" applyAlignment="1"/>
    <xf numFmtId="3" fontId="0" fillId="5" borderId="29" xfId="0" applyNumberFormat="1" applyFill="1" applyBorder="1"/>
    <xf numFmtId="168" fontId="0" fillId="8" borderId="29" xfId="0" applyNumberFormat="1" applyFill="1" applyBorder="1" applyAlignment="1"/>
    <xf numFmtId="169" fontId="0" fillId="0" borderId="29" xfId="0" applyNumberFormat="1" applyBorder="1"/>
    <xf numFmtId="170" fontId="0" fillId="8" borderId="30" xfId="0" applyNumberFormat="1" applyFill="1" applyBorder="1"/>
    <xf numFmtId="0" fontId="1" fillId="0" borderId="34" xfId="0" applyFont="1" applyBorder="1" applyAlignment="1">
      <alignment horizontal="center"/>
    </xf>
    <xf numFmtId="0" fontId="15" fillId="0" borderId="5" xfId="0" applyFont="1" applyBorder="1" applyAlignment="1">
      <alignment horizontal="right"/>
    </xf>
    <xf numFmtId="164" fontId="1" fillId="7" borderId="6" xfId="0" applyNumberFormat="1" applyFont="1" applyFill="1" applyBorder="1"/>
    <xf numFmtId="0" fontId="0" fillId="0" borderId="5" xfId="0" applyBorder="1" applyAlignment="1">
      <alignment horizontal="right"/>
    </xf>
    <xf numFmtId="0" fontId="0" fillId="0" borderId="0" xfId="0" applyProtection="1">
      <protection locked="0"/>
    </xf>
    <xf numFmtId="164" fontId="0" fillId="5" borderId="6" xfId="0" applyNumberFormat="1" applyFill="1" applyBorder="1" applyProtection="1">
      <protection locked="0"/>
    </xf>
    <xf numFmtId="0" fontId="0" fillId="0" borderId="18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Protection="1"/>
    <xf numFmtId="0" fontId="1" fillId="0" borderId="34" xfId="0" applyFont="1" applyBorder="1" applyAlignment="1" applyProtection="1">
      <alignment horizontal="center"/>
    </xf>
    <xf numFmtId="165" fontId="0" fillId="0" borderId="21" xfId="0" applyNumberFormat="1" applyFill="1" applyBorder="1" applyProtection="1"/>
    <xf numFmtId="165" fontId="0" fillId="0" borderId="10" xfId="0" applyNumberFormat="1" applyFill="1" applyBorder="1" applyProtection="1"/>
    <xf numFmtId="165" fontId="0" fillId="0" borderId="16" xfId="0" applyNumberFormat="1" applyFill="1" applyBorder="1" applyProtection="1"/>
    <xf numFmtId="165" fontId="0" fillId="0" borderId="5" xfId="0" applyNumberFormat="1" applyBorder="1" applyProtection="1"/>
    <xf numFmtId="165" fontId="0" fillId="0" borderId="14" xfId="0" applyNumberFormat="1" applyFill="1" applyBorder="1" applyProtection="1"/>
    <xf numFmtId="164" fontId="0" fillId="9" borderId="5" xfId="0" applyNumberFormat="1" applyFont="1" applyFill="1" applyBorder="1" applyAlignment="1"/>
    <xf numFmtId="165" fontId="0" fillId="9" borderId="5" xfId="0" applyNumberFormat="1" applyFont="1" applyFill="1" applyBorder="1"/>
    <xf numFmtId="0" fontId="13" fillId="0" borderId="0" xfId="0" applyFont="1"/>
    <xf numFmtId="0" fontId="0" fillId="10" borderId="0" xfId="0" applyFill="1"/>
    <xf numFmtId="0" fontId="1" fillId="10" borderId="0" xfId="0" applyFont="1" applyFill="1"/>
    <xf numFmtId="0" fontId="0" fillId="11" borderId="0" xfId="0" applyFill="1"/>
    <xf numFmtId="0" fontId="1" fillId="11" borderId="0" xfId="0" applyFont="1" applyFill="1"/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2" fontId="0" fillId="10" borderId="0" xfId="0" applyNumberFormat="1" applyFill="1"/>
    <xf numFmtId="2" fontId="0" fillId="11" borderId="0" xfId="0" applyNumberFormat="1" applyFill="1"/>
    <xf numFmtId="165" fontId="0" fillId="11" borderId="0" xfId="0" applyNumberFormat="1" applyFill="1"/>
    <xf numFmtId="2" fontId="0" fillId="0" borderId="0" xfId="0" applyNumberFormat="1" applyFill="1"/>
    <xf numFmtId="0" fontId="0" fillId="5" borderId="26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5" xfId="0" applyFont="1" applyBorder="1" applyAlignment="1">
      <alignment horizontal="right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0" fillId="0" borderId="36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2" fontId="10" fillId="0" borderId="12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2">
    <dxf>
      <fill>
        <patternFill>
          <bgColor rgb="FFFF33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34D4D"/>
      <color rgb="FFCE3A3A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Fidelity Graph</a:t>
            </a:r>
          </a:p>
        </c:rich>
      </c:tx>
      <c:layout>
        <c:manualLayout>
          <c:xMode val="edge"/>
          <c:yMode val="edge"/>
          <c:x val="0.38400534898400096"/>
          <c:y val="1.0204084365548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'G.C. Fidelity Check'!$E$5</c:f>
              <c:strCache>
                <c:ptCount val="1"/>
                <c:pt idx="0">
                  <c:v>Log Factor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'G.C. Fidelity Check'!$G$6:$G$22</c:f>
              <c:numCache>
                <c:formatCode>#,##0.000000</c:formatCode>
                <c:ptCount val="17"/>
                <c:pt idx="0">
                  <c:v>1.2052855835005247</c:v>
                </c:pt>
                <c:pt idx="1">
                  <c:v>1.2556414986128892</c:v>
                </c:pt>
                <c:pt idx="2">
                  <c:v>1.447313108823568</c:v>
                </c:pt>
                <c:pt idx="3">
                  <c:v>1.4473658225553403</c:v>
                </c:pt>
                <c:pt idx="4">
                  <c:v>1.4781334281005174</c:v>
                </c:pt>
                <c:pt idx="5">
                  <c:v>1.5324995860946622</c:v>
                </c:pt>
                <c:pt idx="6">
                  <c:v>1.643551368562945</c:v>
                </c:pt>
                <c:pt idx="7">
                  <c:v>1.6444090446205939</c:v>
                </c:pt>
                <c:pt idx="8">
                  <c:v>1.7643480221748684</c:v>
                </c:pt>
                <c:pt idx="9">
                  <c:v>1.7643480221748684</c:v>
                </c:pt>
                <c:pt idx="10">
                  <c:v>1.8582363354295128</c:v>
                </c:pt>
                <c:pt idx="11">
                  <c:v>1.8582363354295128</c:v>
                </c:pt>
                <c:pt idx="12">
                  <c:v>1.9353913713243669</c:v>
                </c:pt>
                <c:pt idx="13">
                  <c:v>2.000885058290252</c:v>
                </c:pt>
                <c:pt idx="14">
                  <c:v>2.0577839787080978</c:v>
                </c:pt>
                <c:pt idx="15">
                  <c:v>2.108084463432959</c:v>
                </c:pt>
                <c:pt idx="16">
                  <c:v>2.153159118210787</c:v>
                </c:pt>
              </c:numCache>
            </c:numRef>
          </c:cat>
          <c:val>
            <c:numRef>
              <c:f>'G.C. Fidelity Check'!$E$6:$E$22</c:f>
              <c:numCache>
                <c:formatCode>#,##0.00000</c:formatCode>
                <c:ptCount val="17"/>
                <c:pt idx="0">
                  <c:v>-3.3772680348352804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-3.5482135644757093</c:v>
                </c:pt>
                <c:pt idx="5">
                  <c:v>#N/A</c:v>
                </c:pt>
                <c:pt idx="6">
                  <c:v>#N/A</c:v>
                </c:pt>
                <c:pt idx="7">
                  <c:v>-3.6534514414515256</c:v>
                </c:pt>
                <c:pt idx="8">
                  <c:v>#N/A</c:v>
                </c:pt>
                <c:pt idx="9">
                  <c:v>-3.7323590176540842</c:v>
                </c:pt>
                <c:pt idx="10">
                  <c:v>#N/A</c:v>
                </c:pt>
                <c:pt idx="11">
                  <c:v>-3.7899491501248623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1E-4E12-B04A-AAD73BF05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1634952"/>
        <c:axId val="491634296"/>
      </c:lineChart>
      <c:catAx>
        <c:axId val="491634952"/>
        <c:scaling>
          <c:orientation val="minMax"/>
        </c:scaling>
        <c:delete val="0"/>
        <c:axPos val="b"/>
        <c:numFmt formatCode="#,##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0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634296"/>
        <c:crosses val="autoZero"/>
        <c:auto val="1"/>
        <c:lblAlgn val="ctr"/>
        <c:lblOffset val="100"/>
        <c:noMultiLvlLbl val="0"/>
      </c:catAx>
      <c:valAx>
        <c:axId val="49163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63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16" fmlaLink="$P$49" fmlaRange="$P$43:$P$45" noThreeD="1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247650</xdr:colOff>
      <xdr:row>4</xdr:row>
      <xdr:rowOff>32226</xdr:rowOff>
    </xdr:from>
    <xdr:ext cx="343775" cy="223203"/>
    <xdr:sp macro="" textlink="">
      <xdr:nvSpPr>
        <xdr:cNvPr id="3" name="TextBox 2"/>
        <xdr:cNvSpPr txBox="1"/>
      </xdr:nvSpPr>
      <xdr:spPr>
        <a:xfrm>
          <a:off x="6505575" y="1556226"/>
          <a:ext cx="343775" cy="2232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4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</xdr:row>
          <xdr:rowOff>190500</xdr:rowOff>
        </xdr:from>
        <xdr:to>
          <xdr:col>4</xdr:col>
          <xdr:colOff>0</xdr:colOff>
          <xdr:row>5</xdr:row>
          <xdr:rowOff>190500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97150" cy="7810500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97150" cy="781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4</xdr:row>
      <xdr:rowOff>19049</xdr:rowOff>
    </xdr:from>
    <xdr:to>
      <xdr:col>13</xdr:col>
      <xdr:colOff>1</xdr:colOff>
      <xdr:row>21</xdr:row>
      <xdr:rowOff>190498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247650</xdr:colOff>
      <xdr:row>4</xdr:row>
      <xdr:rowOff>32226</xdr:rowOff>
    </xdr:from>
    <xdr:ext cx="343775" cy="2232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6429375" y="1556226"/>
              <a:ext cx="343775" cy="2232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10</m:t>
                        </m:r>
                      </m:e>
                      <m:sup>
                        <m:r>
                          <a:rPr lang="en-US" sz="1400" b="0" i="1">
                            <a:solidFill>
                              <a:srgbClr val="FF0000"/>
                            </a:solidFill>
                            <a:latin typeface="Cambria Math" panose="02040503050406030204" pitchFamily="18" charset="0"/>
                          </a:rPr>
                          <m:t>𝑋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6429375" y="1556226"/>
              <a:ext cx="343775" cy="2232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400" i="0">
                  <a:latin typeface="Cambria Math" panose="02040503050406030204" pitchFamily="18" charset="0"/>
                </a:rPr>
                <a:t>〖</a:t>
              </a:r>
              <a:r>
                <a:rPr lang="en-US" sz="1400" b="0" i="0">
                  <a:latin typeface="Cambria Math" panose="02040503050406030204" pitchFamily="18" charset="0"/>
                </a:rPr>
                <a:t>10〗^</a:t>
              </a:r>
              <a:r>
                <a:rPr lang="en-US" sz="1400" b="0" i="0">
                  <a:solidFill>
                    <a:srgbClr val="FF0000"/>
                  </a:solidFill>
                  <a:latin typeface="Cambria Math" panose="02040503050406030204" pitchFamily="18" charset="0"/>
                </a:rPr>
                <a:t>𝑋</a:t>
              </a:r>
              <a:endParaRPr lang="en-US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BQ49"/>
  <sheetViews>
    <sheetView tabSelected="1" zoomScaleNormal="100" workbookViewId="0">
      <selection activeCell="B7" sqref="B7:D7"/>
    </sheetView>
  </sheetViews>
  <sheetFormatPr defaultRowHeight="15" x14ac:dyDescent="0.25"/>
  <cols>
    <col min="1" max="1" width="0.28515625" customWidth="1"/>
    <col min="2" max="2" width="13.7109375" customWidth="1"/>
    <col min="3" max="3" width="19.7109375" customWidth="1"/>
    <col min="4" max="4" width="16.7109375" customWidth="1"/>
    <col min="5" max="5" width="1.7109375" customWidth="1"/>
    <col min="6" max="6" width="16.7109375" customWidth="1"/>
    <col min="7" max="7" width="20.7109375" customWidth="1"/>
    <col min="8" max="8" width="12.7109375" customWidth="1"/>
    <col min="9" max="9" width="13.7109375" hidden="1" customWidth="1"/>
    <col min="10" max="11" width="9.140625" hidden="1" customWidth="1"/>
    <col min="12" max="12" width="2.7109375" hidden="1" customWidth="1"/>
    <col min="13" max="16" width="9.140625" hidden="1" customWidth="1"/>
    <col min="17" max="17" width="16.85546875" hidden="1" customWidth="1"/>
    <col min="18" max="18" width="9.140625" hidden="1" customWidth="1"/>
    <col min="19" max="19" width="9.5703125" hidden="1" customWidth="1"/>
    <col min="20" max="21" width="9.140625" hidden="1" customWidth="1"/>
    <col min="22" max="22" width="16.85546875" hidden="1" customWidth="1"/>
    <col min="23" max="25" width="9.140625" hidden="1" customWidth="1"/>
    <col min="26" max="26" width="9.5703125" hidden="1" customWidth="1"/>
    <col min="27" max="27" width="9.140625" hidden="1" customWidth="1"/>
    <col min="28" max="28" width="11.5703125" hidden="1" customWidth="1"/>
    <col min="29" max="29" width="12.28515625" hidden="1" customWidth="1"/>
    <col min="30" max="30" width="11.5703125" hidden="1" customWidth="1"/>
    <col min="31" max="31" width="12.28515625" hidden="1" customWidth="1"/>
    <col min="32" max="32" width="11.85546875" hidden="1" customWidth="1"/>
    <col min="33" max="33" width="10.7109375" hidden="1" customWidth="1"/>
    <col min="34" max="34" width="11.85546875" hidden="1" customWidth="1"/>
    <col min="35" max="35" width="11.140625" hidden="1" customWidth="1"/>
    <col min="36" max="38" width="0" hidden="1" customWidth="1"/>
    <col min="39" max="39" width="16.5703125" hidden="1" customWidth="1"/>
    <col min="40" max="78" width="0" hidden="1" customWidth="1"/>
  </cols>
  <sheetData>
    <row r="1" spans="2:69" ht="19.5" thickBot="1" x14ac:dyDescent="0.35">
      <c r="B1" s="134" t="s">
        <v>86</v>
      </c>
      <c r="C1" s="135"/>
      <c r="D1" s="135"/>
      <c r="E1" s="135"/>
      <c r="F1" s="135"/>
      <c r="G1" s="135"/>
      <c r="H1" s="136"/>
      <c r="I1" s="25">
        <f>((B7*5574.348138492)/265365369)*100</f>
        <v>0.11343409300652489</v>
      </c>
      <c r="J1">
        <f>(((B7*0.0624279606)*5574.348138492)/265365369)*100</f>
        <v>7.081459088908071E-3</v>
      </c>
      <c r="K1" s="9"/>
      <c r="L1">
        <f>(((B7*62.3)*5574.348138492)/265365369)*100</f>
        <v>7.0669439943065013</v>
      </c>
      <c r="V1">
        <f>((V6*5574.348138492)/265365369)*100</f>
        <v>1.7519265475452177</v>
      </c>
      <c r="AA1" s="91" t="s">
        <v>89</v>
      </c>
      <c r="AC1" t="s">
        <v>90</v>
      </c>
    </row>
    <row r="2" spans="2:69" ht="15.75" customHeight="1" thickBot="1" x14ac:dyDescent="0.35">
      <c r="B2" s="104" t="s">
        <v>54</v>
      </c>
      <c r="C2" s="105"/>
      <c r="D2" s="105"/>
      <c r="E2" s="105"/>
      <c r="F2" s="105"/>
      <c r="G2" s="105"/>
      <c r="H2" s="106"/>
      <c r="I2" s="130" t="b">
        <v>1</v>
      </c>
      <c r="J2" s="130"/>
      <c r="K2" s="130"/>
      <c r="L2" s="130"/>
      <c r="M2" s="130"/>
      <c r="N2" s="130"/>
      <c r="O2" s="130"/>
      <c r="Q2" s="133" t="s">
        <v>46</v>
      </c>
      <c r="R2" s="133"/>
      <c r="S2" s="133"/>
      <c r="T2" s="133"/>
      <c r="V2" s="130" t="s">
        <v>47</v>
      </c>
      <c r="W2" s="130"/>
      <c r="X2" s="130"/>
      <c r="Y2" s="130"/>
      <c r="Z2" s="75" t="s">
        <v>83</v>
      </c>
      <c r="AA2" s="91"/>
    </row>
    <row r="3" spans="2:69" ht="71.25" customHeight="1" x14ac:dyDescent="0.25">
      <c r="B3" s="121" t="s">
        <v>130</v>
      </c>
      <c r="C3" s="121"/>
      <c r="D3" s="121"/>
      <c r="E3" s="121"/>
      <c r="F3" s="121"/>
      <c r="G3" s="121"/>
      <c r="H3" s="121"/>
      <c r="I3" s="130"/>
      <c r="J3" s="130"/>
      <c r="K3" s="130"/>
      <c r="L3" s="130"/>
      <c r="M3" s="130"/>
      <c r="N3" s="130"/>
      <c r="O3" s="130"/>
      <c r="Q3" s="133"/>
      <c r="R3" s="133"/>
      <c r="S3" s="133"/>
      <c r="T3" s="133"/>
      <c r="V3" s="130"/>
      <c r="W3" s="130"/>
      <c r="X3" s="130"/>
      <c r="Y3" s="130"/>
      <c r="Z3" s="31">
        <f>(100-C29)/C30</f>
        <v>0.99072192484768684</v>
      </c>
      <c r="AA3" s="92"/>
      <c r="AB3" s="93" t="s">
        <v>91</v>
      </c>
      <c r="AC3" s="92"/>
      <c r="AD3" s="92"/>
      <c r="AE3" s="94"/>
      <c r="AF3" s="94"/>
      <c r="AG3" s="95" t="s">
        <v>87</v>
      </c>
      <c r="AH3" s="95"/>
      <c r="AI3" s="94"/>
      <c r="AK3" t="s">
        <v>92</v>
      </c>
      <c r="AL3" t="s">
        <v>93</v>
      </c>
      <c r="AM3" t="s">
        <v>94</v>
      </c>
      <c r="AN3" t="s">
        <v>95</v>
      </c>
      <c r="AO3" t="s">
        <v>96</v>
      </c>
      <c r="AP3" t="s">
        <v>97</v>
      </c>
      <c r="AQ3" t="s">
        <v>98</v>
      </c>
      <c r="AR3" t="s">
        <v>99</v>
      </c>
    </row>
    <row r="4" spans="2:69" ht="20.25" customHeight="1" x14ac:dyDescent="0.25">
      <c r="B4" s="122"/>
      <c r="C4" s="122"/>
      <c r="D4" s="122"/>
      <c r="E4" s="122"/>
      <c r="F4" s="122"/>
      <c r="G4" s="122"/>
      <c r="H4" s="122"/>
      <c r="I4" s="4" t="s">
        <v>1</v>
      </c>
      <c r="J4" s="4" t="s">
        <v>2</v>
      </c>
      <c r="K4" s="4" t="s">
        <v>3</v>
      </c>
      <c r="L4" s="4"/>
      <c r="M4" s="4" t="s">
        <v>4</v>
      </c>
      <c r="N4" s="4" t="s">
        <v>4</v>
      </c>
      <c r="O4" s="4" t="s">
        <v>4</v>
      </c>
      <c r="Q4" s="4"/>
      <c r="R4" s="4" t="s">
        <v>4</v>
      </c>
      <c r="S4" s="4" t="s">
        <v>4</v>
      </c>
      <c r="T4" s="4" t="s">
        <v>4</v>
      </c>
      <c r="V4" s="4"/>
      <c r="W4" s="4" t="s">
        <v>4</v>
      </c>
      <c r="X4" s="4" t="s">
        <v>4</v>
      </c>
      <c r="Y4" s="4" t="s">
        <v>4</v>
      </c>
      <c r="AA4" s="92"/>
      <c r="AB4" s="92"/>
      <c r="AC4" s="92"/>
      <c r="AD4" s="92"/>
      <c r="AE4" s="94"/>
      <c r="AF4" s="94"/>
      <c r="AG4" s="94"/>
      <c r="AH4" s="94"/>
      <c r="AI4" s="94"/>
      <c r="AK4">
        <v>705.44500000000005</v>
      </c>
      <c r="AL4">
        <v>3203.6</v>
      </c>
      <c r="AM4">
        <v>18.0153</v>
      </c>
      <c r="AN4">
        <v>0.99960000000000004</v>
      </c>
      <c r="AO4">
        <v>14.73</v>
      </c>
      <c r="AP4">
        <v>60</v>
      </c>
      <c r="AQ4">
        <v>10.731</v>
      </c>
      <c r="AR4">
        <v>459.67</v>
      </c>
    </row>
    <row r="5" spans="2:69" ht="16.5" customHeight="1" thickBot="1" x14ac:dyDescent="0.3">
      <c r="B5" s="82"/>
      <c r="C5" s="82"/>
      <c r="D5" s="82"/>
      <c r="I5" s="4" t="s">
        <v>7</v>
      </c>
      <c r="J5" s="4" t="s">
        <v>8</v>
      </c>
      <c r="K5" s="2"/>
      <c r="L5" s="4"/>
      <c r="M5" s="4" t="s">
        <v>7</v>
      </c>
      <c r="N5" s="4" t="s">
        <v>8</v>
      </c>
      <c r="O5" s="4" t="s">
        <v>3</v>
      </c>
      <c r="Q5" s="4" t="s">
        <v>44</v>
      </c>
      <c r="R5" s="4" t="s">
        <v>7</v>
      </c>
      <c r="S5" s="4" t="s">
        <v>8</v>
      </c>
      <c r="T5" s="4" t="s">
        <v>3</v>
      </c>
      <c r="V5" s="4" t="s">
        <v>44</v>
      </c>
      <c r="W5" s="4" t="s">
        <v>7</v>
      </c>
      <c r="X5" s="4" t="s">
        <v>8</v>
      </c>
      <c r="Y5" s="4" t="s">
        <v>3</v>
      </c>
      <c r="AA5" s="96"/>
      <c r="AB5" s="96"/>
      <c r="AC5" s="96"/>
      <c r="AD5" s="96"/>
      <c r="AE5" s="97" t="s">
        <v>100</v>
      </c>
      <c r="AF5" s="97" t="s">
        <v>100</v>
      </c>
      <c r="AG5" s="97" t="s">
        <v>101</v>
      </c>
      <c r="AH5" s="97" t="s">
        <v>101</v>
      </c>
      <c r="AI5" s="97"/>
    </row>
    <row r="6" spans="2:69" ht="16.5" customHeight="1" thickBot="1" x14ac:dyDescent="0.3">
      <c r="B6" s="78"/>
      <c r="C6" s="78"/>
      <c r="D6" s="78"/>
      <c r="F6" s="123" t="s">
        <v>125</v>
      </c>
      <c r="G6" s="124"/>
      <c r="H6" s="125"/>
      <c r="I6" s="2" t="s">
        <v>37</v>
      </c>
      <c r="V6">
        <v>834</v>
      </c>
      <c r="AA6" s="96"/>
      <c r="AB6" s="96" t="s">
        <v>102</v>
      </c>
      <c r="AC6" s="96" t="s">
        <v>102</v>
      </c>
      <c r="AD6" s="96" t="s">
        <v>29</v>
      </c>
      <c r="AE6" s="97" t="s">
        <v>29</v>
      </c>
      <c r="AF6" s="97" t="s">
        <v>29</v>
      </c>
      <c r="AG6" s="97" t="s">
        <v>29</v>
      </c>
      <c r="AH6" s="97" t="s">
        <v>29</v>
      </c>
      <c r="AI6" s="97" t="s">
        <v>101</v>
      </c>
      <c r="AK6">
        <v>1</v>
      </c>
      <c r="AL6">
        <v>2</v>
      </c>
      <c r="AM6">
        <v>3</v>
      </c>
      <c r="AN6">
        <v>4</v>
      </c>
      <c r="AO6">
        <v>5</v>
      </c>
      <c r="AP6">
        <v>6</v>
      </c>
      <c r="AQ6">
        <v>7</v>
      </c>
      <c r="AR6">
        <v>8</v>
      </c>
      <c r="AW6" t="s">
        <v>103</v>
      </c>
      <c r="AX6" t="s">
        <v>103</v>
      </c>
      <c r="AY6" t="s">
        <v>104</v>
      </c>
      <c r="AZ6" t="s">
        <v>104</v>
      </c>
      <c r="BN6" t="s">
        <v>103</v>
      </c>
      <c r="BO6" t="s">
        <v>103</v>
      </c>
      <c r="BP6" t="s">
        <v>104</v>
      </c>
      <c r="BQ6" t="s">
        <v>104</v>
      </c>
    </row>
    <row r="7" spans="2:69" ht="16.5" customHeight="1" thickBot="1" x14ac:dyDescent="0.3">
      <c r="B7" s="144">
        <v>54</v>
      </c>
      <c r="C7" s="145"/>
      <c r="D7" s="146"/>
      <c r="E7" s="4"/>
      <c r="F7" s="126" t="s">
        <v>128</v>
      </c>
      <c r="G7" s="127"/>
      <c r="H7" s="102">
        <v>0</v>
      </c>
      <c r="I7" s="11">
        <v>1010</v>
      </c>
      <c r="J7" s="12">
        <v>16.0425</v>
      </c>
      <c r="K7" s="6">
        <v>1.1599999999999999E-2</v>
      </c>
      <c r="L7" s="1"/>
      <c r="M7" s="7">
        <f t="shared" ref="M7:M27" si="0">D9*$I7/100</f>
        <v>678.15638982829307</v>
      </c>
      <c r="N7" s="7">
        <f t="shared" ref="N7:N27" si="1">D9*$J7/100</f>
        <v>10.771607805762763</v>
      </c>
      <c r="O7" s="8">
        <f t="shared" ref="O7:O27" si="2">D9*$K7/100</f>
        <v>7.7887268534734631E-3</v>
      </c>
      <c r="Q7" s="13">
        <f t="shared" ref="Q7:Q26" si="3">C9*$P$28</f>
        <v>67.220447918113109</v>
      </c>
      <c r="R7" s="7">
        <f>Q7*$I7/100</f>
        <v>678.92652397294239</v>
      </c>
      <c r="S7" s="7">
        <f>Q7*$J7/100</f>
        <v>10.783840357263296</v>
      </c>
      <c r="T7" s="8">
        <f>Q7*$K7/100</f>
        <v>7.7975719585011202E-3</v>
      </c>
      <c r="V7" s="13">
        <f t="shared" ref="V7:V26" si="4">C9*$V$28</f>
        <v>66.042795045656874</v>
      </c>
      <c r="W7" s="7">
        <f t="shared" ref="W7:W27" si="5">V7*$I7/100</f>
        <v>667.03222996113448</v>
      </c>
      <c r="X7" s="7">
        <f>V7*$J7/100</f>
        <v>10.594915395199505</v>
      </c>
      <c r="Y7" s="8">
        <f>V7*$K7/100</f>
        <v>7.6609642252961976E-3</v>
      </c>
      <c r="AA7" s="96" t="s">
        <v>105</v>
      </c>
      <c r="AB7" s="96" t="s">
        <v>106</v>
      </c>
      <c r="AC7" s="96" t="s">
        <v>107</v>
      </c>
      <c r="AD7" s="96" t="s">
        <v>108</v>
      </c>
      <c r="AE7" s="97" t="s">
        <v>109</v>
      </c>
      <c r="AF7" s="97" t="s">
        <v>109</v>
      </c>
      <c r="AG7" s="97" t="s">
        <v>109</v>
      </c>
      <c r="AH7" s="97" t="s">
        <v>109</v>
      </c>
      <c r="AI7" s="97" t="s">
        <v>110</v>
      </c>
      <c r="AK7">
        <v>-741.92420000000004</v>
      </c>
      <c r="AL7">
        <v>-29.721</v>
      </c>
      <c r="AM7">
        <v>-11.552860000000001</v>
      </c>
      <c r="AN7">
        <v>-0.86856350000000004</v>
      </c>
      <c r="AO7">
        <v>0.1094098</v>
      </c>
      <c r="AP7">
        <v>0.43999300000000002</v>
      </c>
      <c r="AQ7">
        <v>0.25206580000000001</v>
      </c>
      <c r="AR7">
        <v>5.2186839999999998E-2</v>
      </c>
      <c r="AS7" t="s">
        <v>111</v>
      </c>
      <c r="AT7" t="s">
        <v>112</v>
      </c>
      <c r="AU7" t="s">
        <v>113</v>
      </c>
      <c r="AV7" t="s">
        <v>114</v>
      </c>
      <c r="AW7" t="s">
        <v>115</v>
      </c>
      <c r="AX7" t="s">
        <v>116</v>
      </c>
      <c r="AY7" t="s">
        <v>117</v>
      </c>
      <c r="AZ7" t="s">
        <v>117</v>
      </c>
      <c r="BJ7" t="s">
        <v>111</v>
      </c>
      <c r="BK7" t="s">
        <v>112</v>
      </c>
      <c r="BL7" t="s">
        <v>113</v>
      </c>
      <c r="BM7" t="s">
        <v>114</v>
      </c>
      <c r="BN7" t="s">
        <v>115</v>
      </c>
      <c r="BO7" t="s">
        <v>116</v>
      </c>
      <c r="BP7" t="s">
        <v>117</v>
      </c>
      <c r="BQ7" t="s">
        <v>117</v>
      </c>
    </row>
    <row r="8" spans="2:69" ht="15.75" thickBot="1" x14ac:dyDescent="0.3">
      <c r="B8" s="74" t="s">
        <v>5</v>
      </c>
      <c r="C8" s="74" t="s">
        <v>45</v>
      </c>
      <c r="D8" s="83" t="s">
        <v>44</v>
      </c>
      <c r="F8" s="128" t="s">
        <v>127</v>
      </c>
      <c r="G8" s="129"/>
      <c r="H8" s="103">
        <v>0</v>
      </c>
      <c r="I8" s="11">
        <v>1769.7</v>
      </c>
      <c r="J8" s="12">
        <v>30.068999999999999</v>
      </c>
      <c r="K8" s="6">
        <v>2.3800000000000002E-2</v>
      </c>
      <c r="L8" s="1"/>
      <c r="M8" s="7">
        <f t="shared" si="0"/>
        <v>308.59491671682349</v>
      </c>
      <c r="N8" s="7">
        <f t="shared" si="1"/>
        <v>5.2433409904267183</v>
      </c>
      <c r="O8" s="8">
        <f t="shared" si="2"/>
        <v>4.1501717906201043E-3</v>
      </c>
      <c r="Q8" s="13">
        <f t="shared" si="3"/>
        <v>17.457499355299436</v>
      </c>
      <c r="R8" s="7">
        <f t="shared" ref="R8:R27" si="6">Q8*$I8/100</f>
        <v>308.94536609073413</v>
      </c>
      <c r="S8" s="7">
        <f t="shared" ref="S8:S27" si="7">Q8*$J8/100</f>
        <v>5.249295481144987</v>
      </c>
      <c r="T8" s="8">
        <f t="shared" ref="T8:T27" si="8">Q8*$K8/100</f>
        <v>4.1548848465612666E-3</v>
      </c>
      <c r="V8" s="13">
        <f t="shared" si="4"/>
        <v>17.151656789556409</v>
      </c>
      <c r="W8" s="7">
        <f t="shared" si="5"/>
        <v>303.53287020477978</v>
      </c>
      <c r="X8" s="7">
        <f t="shared" ref="X8:X27" si="9">V8*$J8/100</f>
        <v>5.1573316800517155</v>
      </c>
      <c r="Y8" s="8">
        <f t="shared" ref="Y8:Y27" si="10">V8*$K8/100</f>
        <v>4.0820943159144253E-3</v>
      </c>
      <c r="AA8" s="96"/>
      <c r="AB8" s="96" t="s">
        <v>118</v>
      </c>
      <c r="AC8" s="96" t="s">
        <v>119</v>
      </c>
      <c r="AD8" s="96" t="s">
        <v>119</v>
      </c>
      <c r="AE8" s="97" t="s">
        <v>120</v>
      </c>
      <c r="AF8" s="97" t="s">
        <v>121</v>
      </c>
      <c r="AG8" s="97" t="s">
        <v>122</v>
      </c>
      <c r="AH8" s="97" t="s">
        <v>121</v>
      </c>
      <c r="AI8" s="97" t="s">
        <v>123</v>
      </c>
      <c r="AV8" t="s">
        <v>118</v>
      </c>
      <c r="AX8" t="s">
        <v>122</v>
      </c>
      <c r="AY8" t="s">
        <v>122</v>
      </c>
      <c r="AZ8" t="s">
        <v>124</v>
      </c>
      <c r="BM8" t="s">
        <v>118</v>
      </c>
      <c r="BO8" t="s">
        <v>122</v>
      </c>
      <c r="BP8" t="s">
        <v>122</v>
      </c>
      <c r="BQ8" t="s">
        <v>124</v>
      </c>
    </row>
    <row r="9" spans="2:69" ht="15.75" customHeight="1" thickTop="1" thickBot="1" x14ac:dyDescent="0.3">
      <c r="B9" s="39" t="s">
        <v>9</v>
      </c>
      <c r="C9" s="40">
        <v>67.772999999999996</v>
      </c>
      <c r="D9" s="84">
        <f t="shared" ref="D9:D28" si="11">C9*$Z$3</f>
        <v>67.144197012702278</v>
      </c>
      <c r="E9" s="1"/>
      <c r="I9" s="11">
        <v>2516.1</v>
      </c>
      <c r="J9" s="12">
        <v>44.095599999999997</v>
      </c>
      <c r="K9" s="6">
        <v>3.4700000000000002E-2</v>
      </c>
      <c r="L9" s="1"/>
      <c r="M9" s="7">
        <f t="shared" si="0"/>
        <v>196.40420073225897</v>
      </c>
      <c r="N9" s="7">
        <f t="shared" si="1"/>
        <v>3.4420575787168231</v>
      </c>
      <c r="O9" s="8">
        <f t="shared" si="2"/>
        <v>2.708646621918599E-3</v>
      </c>
      <c r="Q9" s="13">
        <f t="shared" si="3"/>
        <v>7.8147626510087083</v>
      </c>
      <c r="R9" s="7">
        <f t="shared" si="6"/>
        <v>196.62724306203009</v>
      </c>
      <c r="S9" s="7">
        <f t="shared" si="7"/>
        <v>3.4459664795381957</v>
      </c>
      <c r="T9" s="8">
        <f t="shared" si="8"/>
        <v>2.711722639900022E-3</v>
      </c>
      <c r="V9" s="13">
        <f t="shared" si="4"/>
        <v>7.6778537494980368</v>
      </c>
      <c r="W9" s="7">
        <f t="shared" si="5"/>
        <v>193.18247819112011</v>
      </c>
      <c r="X9" s="7">
        <f t="shared" si="9"/>
        <v>3.3855956779636562</v>
      </c>
      <c r="Y9" s="8">
        <f t="shared" si="10"/>
        <v>2.6642152510758187E-3</v>
      </c>
      <c r="AA9" s="92"/>
      <c r="AB9" s="92"/>
      <c r="AC9" s="92"/>
      <c r="AD9" s="92"/>
      <c r="AE9" s="94"/>
      <c r="AF9" s="94"/>
      <c r="AG9" s="94"/>
      <c r="AH9" s="94"/>
      <c r="AI9" s="94"/>
    </row>
    <row r="10" spans="2:69" ht="15.75" customHeight="1" thickBot="1" x14ac:dyDescent="0.35">
      <c r="B10" s="30" t="s">
        <v>10</v>
      </c>
      <c r="C10" s="37">
        <v>17.600999999999999</v>
      </c>
      <c r="D10" s="85">
        <f t="shared" si="11"/>
        <v>17.437696599244134</v>
      </c>
      <c r="E10" s="1"/>
      <c r="F10" s="116" t="s">
        <v>87</v>
      </c>
      <c r="G10" s="117"/>
      <c r="H10" s="118"/>
      <c r="I10" s="11">
        <v>3251.9</v>
      </c>
      <c r="J10" s="12">
        <v>58.122199999999999</v>
      </c>
      <c r="K10" s="6">
        <v>4.41E-2</v>
      </c>
      <c r="L10" s="1"/>
      <c r="M10" s="7">
        <f t="shared" si="0"/>
        <v>30.864160250608805</v>
      </c>
      <c r="N10" s="7">
        <f t="shared" si="1"/>
        <v>0.55164454470246171</v>
      </c>
      <c r="O10" s="8">
        <f t="shared" si="2"/>
        <v>4.1855821736580106E-4</v>
      </c>
      <c r="Q10" s="13">
        <f t="shared" si="3"/>
        <v>0.95018944278034556</v>
      </c>
      <c r="R10" s="7">
        <f t="shared" si="6"/>
        <v>30.89921048977406</v>
      </c>
      <c r="S10" s="7">
        <f t="shared" si="7"/>
        <v>0.55227100831167808</v>
      </c>
      <c r="T10" s="8">
        <f t="shared" si="8"/>
        <v>4.190335442661324E-4</v>
      </c>
      <c r="V10" s="13">
        <f t="shared" si="4"/>
        <v>0.93354282168030456</v>
      </c>
      <c r="W10" s="7">
        <f t="shared" si="5"/>
        <v>30.357879018221823</v>
      </c>
      <c r="X10" s="7">
        <f t="shared" si="9"/>
        <v>0.54259562590266996</v>
      </c>
      <c r="Y10" s="8">
        <f t="shared" si="10"/>
        <v>4.1169238436101428E-4</v>
      </c>
      <c r="AA10" s="92" t="s">
        <v>126</v>
      </c>
      <c r="AB10" s="98">
        <f>H8</f>
        <v>0</v>
      </c>
      <c r="AC10" s="98">
        <f>H7</f>
        <v>0</v>
      </c>
      <c r="AD10" s="98">
        <f>B7</f>
        <v>54</v>
      </c>
      <c r="AE10" s="99" t="e">
        <f>AX10+AY10</f>
        <v>#DIV/0!</v>
      </c>
      <c r="AF10" s="100" t="e">
        <f>(AW10+AZ10)*100</f>
        <v>#DIV/0!</v>
      </c>
      <c r="AG10" s="99" t="e">
        <f>BO10+BP10</f>
        <v>#DIV/0!</v>
      </c>
      <c r="AH10" s="100" t="e">
        <f>(BN10+BQ10)*100</f>
        <v>#DIV/0!</v>
      </c>
      <c r="AI10" s="99" t="e">
        <f>AE10*100/AG10</f>
        <v>#DIV/0!</v>
      </c>
      <c r="AK10">
        <f>$AK$7*(0.65-0.01*(($AD10-32)*(5/9)))^($AK$6-1)</f>
        <v>-741.92420000000004</v>
      </c>
      <c r="AL10">
        <f>$AL$7*(0.65-0.01*(($AD10-32)*(5/9)))^($AL$6-1)</f>
        <v>-15.686083333333334</v>
      </c>
      <c r="AM10">
        <f>$AM$7*(0.65-0.01*(($AD10-32)*(5/9)))^($AM$6-1)</f>
        <v>-3.2180420216049388</v>
      </c>
      <c r="AN10">
        <f>$AN$7*(0.65-0.01*(($AD10-32)*(5/9)))^($AN$6-1)</f>
        <v>-0.12768940857553157</v>
      </c>
      <c r="AO10">
        <f>$AO$7*(0.65-0.01*(($AD10-32)*(5/9)))^($AO$6-1)</f>
        <v>8.4890799717316345E-3</v>
      </c>
      <c r="AP10">
        <f>$AP$7*(0.65-0.01*(($AD10-32)*(5/9)))^($AP$6-1)</f>
        <v>1.8017779515393868E-2</v>
      </c>
      <c r="AQ10">
        <f>$AQ$7*(0.65-0.01*(($AD10-32)*(5/9)))^($AQ$6-1)</f>
        <v>5.4477921080345456E-3</v>
      </c>
      <c r="AR10">
        <f>$AR$7*(0.65-0.01*(($AD10-32)*(5/9)))^($AR$6-1)</f>
        <v>5.9527645017138481E-4</v>
      </c>
      <c r="AS10">
        <f>SUM(AK10:AR10)</f>
        <v>-760.92346483546851</v>
      </c>
      <c r="AT10">
        <f>1000/((5/9)*(AD10+$AR$4))</f>
        <v>3.5041953004847466</v>
      </c>
      <c r="AU10">
        <f>AT10*0.00001*(5/9)*($AK$4-AD10)*AS10</f>
        <v>-9.6501603471049862</v>
      </c>
      <c r="AV10">
        <f>$AL$4*EXP(AU10)</f>
        <v>0.20636065456468736</v>
      </c>
      <c r="AW10" t="e">
        <f>AV10/AB10</f>
        <v>#DIV/0!</v>
      </c>
      <c r="AX10" t="e">
        <f>1000000*$AO$4*$AM$4*AW10/($AN$4*$AQ$4*($AR$4+$AP$4))</f>
        <v>#DIV/0!</v>
      </c>
      <c r="AY10">
        <f>10^(1.872156-3079.1*(1/(AD10+459.67)-1/639.6))</f>
        <v>4.9197512822596652</v>
      </c>
      <c r="AZ10">
        <f>AY10*$AN$4*$AQ$4*($AP$4+$AR$4)/(1000000*$AO$4*$AM$4)</f>
        <v>1.0334583787422464E-4</v>
      </c>
      <c r="BB10">
        <f>$AK$7*(0.65-0.01*(($AC10-32)*(5/9)))^($AK$6-1)</f>
        <v>-741.92420000000004</v>
      </c>
      <c r="BC10">
        <f>$AL$7*(0.65-0.01*(($AC10-32)*(5/9)))^($AL$6-1)</f>
        <v>-24.602383333333336</v>
      </c>
      <c r="BD10">
        <f>$AM$7*(0.65-0.01*(($AC10-32)*(5/9)))^($AM$6-1)</f>
        <v>-7.9162050882716066</v>
      </c>
      <c r="BE10">
        <f>$AN$7*(0.65-0.01*(($AC10-32)*(5/9)))^($AN$6-1)</f>
        <v>-0.49265496592275393</v>
      </c>
      <c r="BF10">
        <f>$AO$7*(0.65-0.01*(($AC10-32)*(5/9)))^($AO$6-1)</f>
        <v>5.1370202462019718E-2</v>
      </c>
      <c r="BG10">
        <f>$AP$7*(0.65-0.01*(($AC10-32)*(5/9)))^($AP$6-1)</f>
        <v>0.17100727389080347</v>
      </c>
      <c r="BH10">
        <f>$AQ$7*(0.65-0.01*(($AC10-32)*(5/9)))^($AQ$6-1)</f>
        <v>8.1095453154514455E-2</v>
      </c>
      <c r="BI10">
        <f>$AR$7*(0.65-0.01*(($AC10-32)*(5/9)))^($AR$6-1)</f>
        <v>1.3898161166577647E-2</v>
      </c>
      <c r="BJ10">
        <f>SUM(BB10:BI10)</f>
        <v>-774.61807229685371</v>
      </c>
      <c r="BK10">
        <f>1000/((5/9)*(AC10+$AR$4))</f>
        <v>3.9158526769203994</v>
      </c>
      <c r="BL10">
        <f>BK10*0.00001*(5/9)*($AK$4-AC10)*BJ10</f>
        <v>-11.887885787879437</v>
      </c>
      <c r="BM10">
        <f>$AL$4*EXP(BL10)</f>
        <v>2.2018872962837641E-2</v>
      </c>
      <c r="BN10" t="e">
        <f>BM10/AB10</f>
        <v>#DIV/0!</v>
      </c>
      <c r="BO10" t="e">
        <f>1000000*$AO$4*$AM$4*BN10/($AN$4*$AQ$4*($AR$4+$AP$4))</f>
        <v>#DIV/0!</v>
      </c>
      <c r="BP10">
        <f>10^(1.872156-3079.1*(1/(AC10+459.67)-1/639.6))</f>
        <v>0.97220413857065369</v>
      </c>
      <c r="BQ10">
        <f>BP10*$AN$4*$AQ$4*($AP$4+$AR$4)/(1000000*$AO$4*$AM$4)</f>
        <v>2.0422424939991108E-5</v>
      </c>
    </row>
    <row r="11" spans="2:69" ht="15.75" customHeight="1" x14ac:dyDescent="0.25">
      <c r="B11" s="30" t="s">
        <v>11</v>
      </c>
      <c r="C11" s="37">
        <v>7.8789999999999996</v>
      </c>
      <c r="D11" s="85">
        <f t="shared" si="11"/>
        <v>7.8058980458749243</v>
      </c>
      <c r="E11" s="1"/>
      <c r="F11" s="147" t="s">
        <v>51</v>
      </c>
      <c r="G11" s="147"/>
      <c r="H11" s="76">
        <f>$H$17*14.73/($H$19*14.696)</f>
        <v>1368.6441517597589</v>
      </c>
      <c r="I11" s="11">
        <v>3262.3</v>
      </c>
      <c r="J11" s="12">
        <v>58.122199999999999</v>
      </c>
      <c r="K11" s="6">
        <v>4.7E-2</v>
      </c>
      <c r="L11" s="1"/>
      <c r="M11" s="7">
        <f t="shared" si="0"/>
        <v>83.741952629007088</v>
      </c>
      <c r="N11" s="7">
        <f t="shared" si="1"/>
        <v>1.4919739199625035</v>
      </c>
      <c r="O11" s="8">
        <f t="shared" si="2"/>
        <v>1.2064714384217676E-3</v>
      </c>
      <c r="Q11" s="13">
        <f t="shared" si="3"/>
        <v>2.5698756223840036</v>
      </c>
      <c r="R11" s="7">
        <f t="shared" si="6"/>
        <v>83.837052429033349</v>
      </c>
      <c r="S11" s="7">
        <f t="shared" si="7"/>
        <v>1.4936682489932753</v>
      </c>
      <c r="T11" s="8">
        <f t="shared" si="8"/>
        <v>1.2078415425204817E-3</v>
      </c>
      <c r="V11" s="13">
        <f t="shared" si="4"/>
        <v>2.5248532891165651</v>
      </c>
      <c r="W11" s="7">
        <f t="shared" si="5"/>
        <v>82.368288850849709</v>
      </c>
      <c r="X11" s="7">
        <f t="shared" si="9"/>
        <v>1.4675002784069082</v>
      </c>
      <c r="Y11" s="8">
        <f t="shared" si="10"/>
        <v>1.1866810458847857E-3</v>
      </c>
      <c r="AA11" s="16"/>
      <c r="AB11" s="101"/>
      <c r="AC11" s="101"/>
      <c r="AD11" s="101"/>
      <c r="AE11" s="101"/>
      <c r="AF11" s="15"/>
      <c r="AG11" s="101"/>
      <c r="AH11" s="15"/>
      <c r="AI11" s="101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</row>
    <row r="12" spans="2:69" ht="15.75" customHeight="1" x14ac:dyDescent="0.25">
      <c r="B12" s="30" t="s">
        <v>12</v>
      </c>
      <c r="C12" s="37">
        <v>0.95799999999999996</v>
      </c>
      <c r="D12" s="85">
        <f t="shared" si="11"/>
        <v>0.94911160400408401</v>
      </c>
      <c r="E12" s="1"/>
      <c r="F12" s="148" t="s">
        <v>48</v>
      </c>
      <c r="G12" s="148"/>
      <c r="H12" s="29">
        <f>$H$18*$H$20/$H$19</f>
        <v>0.81393296294404971</v>
      </c>
      <c r="I12" s="11">
        <v>4000.9</v>
      </c>
      <c r="J12" s="12">
        <v>72.148799999999994</v>
      </c>
      <c r="K12" s="6">
        <v>5.7599999999999998E-2</v>
      </c>
      <c r="L12" s="1"/>
      <c r="M12" s="7">
        <f t="shared" si="0"/>
        <v>18.986503082299699</v>
      </c>
      <c r="N12" s="7">
        <f t="shared" si="1"/>
        <v>0.34238631647484924</v>
      </c>
      <c r="O12" s="8">
        <f t="shared" si="2"/>
        <v>2.7334414195317617E-4</v>
      </c>
      <c r="Q12" s="13">
        <f t="shared" si="3"/>
        <v>0.47509472139017278</v>
      </c>
      <c r="R12" s="7">
        <f t="shared" si="6"/>
        <v>19.008064708099422</v>
      </c>
      <c r="S12" s="7">
        <f t="shared" si="7"/>
        <v>0.34277514034635298</v>
      </c>
      <c r="T12" s="8">
        <f t="shared" si="8"/>
        <v>2.7365455952073949E-4</v>
      </c>
      <c r="V12" s="13">
        <f t="shared" si="4"/>
        <v>0.46677141084015228</v>
      </c>
      <c r="W12" s="7">
        <f t="shared" si="5"/>
        <v>18.675057376303652</v>
      </c>
      <c r="X12" s="7">
        <f t="shared" si="9"/>
        <v>0.33676997166423972</v>
      </c>
      <c r="Y12" s="8">
        <f t="shared" si="10"/>
        <v>2.688603326439277E-4</v>
      </c>
      <c r="AA12" s="16"/>
      <c r="AB12" s="101"/>
      <c r="AC12" s="101"/>
      <c r="AD12" s="101"/>
      <c r="AE12" s="101"/>
      <c r="AF12" s="15"/>
      <c r="AG12" s="101"/>
      <c r="AH12" s="15"/>
      <c r="AI12" s="101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</row>
    <row r="13" spans="2:69" ht="15.75" customHeight="1" x14ac:dyDescent="0.25">
      <c r="B13" s="30" t="s">
        <v>13</v>
      </c>
      <c r="C13" s="37">
        <v>2.5910000000000002</v>
      </c>
      <c r="D13" s="85">
        <f t="shared" si="11"/>
        <v>2.5669605072803567</v>
      </c>
      <c r="E13" s="1"/>
      <c r="F13" s="120" t="s">
        <v>50</v>
      </c>
      <c r="G13" s="120"/>
      <c r="H13" s="51">
        <f>S35</f>
        <v>1370.1600863210811</v>
      </c>
      <c r="I13" s="11">
        <v>4008.7</v>
      </c>
      <c r="J13" s="12">
        <v>72.148799999999994</v>
      </c>
      <c r="K13" s="6">
        <v>6.0600000000000001E-2</v>
      </c>
      <c r="L13" s="1"/>
      <c r="M13" s="7">
        <f t="shared" si="0"/>
        <v>26.966532395129704</v>
      </c>
      <c r="N13" s="7">
        <f t="shared" si="1"/>
        <v>0.48534511249775086</v>
      </c>
      <c r="O13" s="8">
        <f t="shared" si="2"/>
        <v>4.0765631330477709E-4</v>
      </c>
      <c r="Q13" s="13">
        <f t="shared" si="3"/>
        <v>0.67346412489337648</v>
      </c>
      <c r="R13" s="7">
        <f t="shared" si="6"/>
        <v>26.997156374600781</v>
      </c>
      <c r="S13" s="7">
        <f t="shared" si="7"/>
        <v>0.48589628454107237</v>
      </c>
      <c r="T13" s="8">
        <f t="shared" si="8"/>
        <v>4.0811925968538618E-4</v>
      </c>
      <c r="V13" s="13">
        <f t="shared" si="4"/>
        <v>0.66166552810117629</v>
      </c>
      <c r="W13" s="7">
        <f t="shared" si="5"/>
        <v>26.524186024991856</v>
      </c>
      <c r="X13" s="7">
        <f t="shared" si="9"/>
        <v>0.47738373853866145</v>
      </c>
      <c r="Y13" s="8">
        <f t="shared" si="10"/>
        <v>4.0096931002931281E-4</v>
      </c>
      <c r="AA13" s="16"/>
      <c r="AB13" s="101"/>
      <c r="AC13" s="101"/>
      <c r="AD13" s="101"/>
      <c r="AE13" s="101"/>
      <c r="AF13" s="15"/>
      <c r="AG13" s="101"/>
      <c r="AH13" s="15"/>
      <c r="AI13" s="101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</row>
    <row r="14" spans="2:69" ht="15.75" customHeight="1" x14ac:dyDescent="0.25">
      <c r="B14" s="30" t="s">
        <v>14</v>
      </c>
      <c r="C14" s="37">
        <v>0.47899999999999998</v>
      </c>
      <c r="D14" s="85">
        <f t="shared" si="11"/>
        <v>0.474555802002042</v>
      </c>
      <c r="E14" s="1"/>
      <c r="F14" s="120" t="s">
        <v>49</v>
      </c>
      <c r="G14" s="120"/>
      <c r="H14" s="32">
        <f>S36</f>
        <v>0.81412520320738024</v>
      </c>
      <c r="I14" s="11">
        <v>4755.8999999999996</v>
      </c>
      <c r="J14" s="12">
        <v>86.175399999999996</v>
      </c>
      <c r="K14" s="6">
        <v>7.7600000000000002E-2</v>
      </c>
      <c r="L14" s="1"/>
      <c r="M14" s="7">
        <f t="shared" si="0"/>
        <v>12.533319910339083</v>
      </c>
      <c r="N14" s="7">
        <f t="shared" si="1"/>
        <v>0.2270997827123015</v>
      </c>
      <c r="O14" s="8">
        <f t="shared" si="2"/>
        <v>2.0450085683936016E-4</v>
      </c>
      <c r="Q14" s="13">
        <f t="shared" si="3"/>
        <v>0.26383130665926091</v>
      </c>
      <c r="R14" s="7">
        <f t="shared" si="6"/>
        <v>12.547553113407789</v>
      </c>
      <c r="S14" s="7">
        <f t="shared" si="7"/>
        <v>0.22735768383884472</v>
      </c>
      <c r="T14" s="8">
        <f t="shared" si="8"/>
        <v>2.047330939675865E-4</v>
      </c>
      <c r="V14" s="13">
        <f t="shared" si="4"/>
        <v>0.25920917595716181</v>
      </c>
      <c r="W14" s="7">
        <f t="shared" si="5"/>
        <v>12.327729199346656</v>
      </c>
      <c r="X14" s="7">
        <f t="shared" si="9"/>
        <v>0.22337454421778802</v>
      </c>
      <c r="Y14" s="8">
        <f t="shared" si="10"/>
        <v>2.0114632054275757E-4</v>
      </c>
      <c r="AA14" s="16"/>
      <c r="AB14" s="101"/>
      <c r="AC14" s="101"/>
      <c r="AD14" s="101"/>
      <c r="AE14" s="101"/>
      <c r="AF14" s="15"/>
      <c r="AG14" s="101"/>
      <c r="AH14" s="15"/>
      <c r="AI14" s="101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</row>
    <row r="15" spans="2:69" ht="15.75" customHeight="1" x14ac:dyDescent="0.25">
      <c r="B15" s="30" t="s">
        <v>15</v>
      </c>
      <c r="C15" s="37">
        <v>0.67900000000000005</v>
      </c>
      <c r="D15" s="85">
        <f t="shared" si="11"/>
        <v>0.67270018697157941</v>
      </c>
      <c r="E15" s="1"/>
      <c r="F15" s="120" t="s">
        <v>57</v>
      </c>
      <c r="G15" s="120"/>
      <c r="H15" s="89">
        <f>Z35</f>
        <v>1346.7508331307811</v>
      </c>
      <c r="I15" s="11">
        <f>0.6*I14+0.3*I16+0.1*I17</f>
        <v>5129.2199999999993</v>
      </c>
      <c r="J15" s="12">
        <f>0.6*J14+0.3*J16+0.1*J17</f>
        <v>93.188659999999985</v>
      </c>
      <c r="K15" s="5">
        <f>0.6*K14+0.3*K16+0.1*K17</f>
        <v>8.6369999999999988E-2</v>
      </c>
      <c r="L15" s="1"/>
      <c r="M15" s="7">
        <f t="shared" si="0"/>
        <v>0</v>
      </c>
      <c r="N15" s="7">
        <f t="shared" si="1"/>
        <v>0</v>
      </c>
      <c r="O15" s="8">
        <f t="shared" si="2"/>
        <v>0</v>
      </c>
      <c r="Q15" s="13">
        <f t="shared" si="3"/>
        <v>0</v>
      </c>
      <c r="R15" s="7">
        <f t="shared" si="6"/>
        <v>0</v>
      </c>
      <c r="S15" s="7">
        <f t="shared" si="7"/>
        <v>0</v>
      </c>
      <c r="T15" s="8">
        <f t="shared" si="8"/>
        <v>0</v>
      </c>
      <c r="V15" s="13">
        <f t="shared" si="4"/>
        <v>0</v>
      </c>
      <c r="W15" s="7">
        <f t="shared" si="5"/>
        <v>0</v>
      </c>
      <c r="X15" s="7">
        <f t="shared" si="9"/>
        <v>0</v>
      </c>
      <c r="Y15" s="8">
        <f t="shared" si="10"/>
        <v>0</v>
      </c>
      <c r="AA15" s="16"/>
      <c r="AB15" s="101"/>
      <c r="AC15" s="101"/>
      <c r="AD15" s="101"/>
      <c r="AE15" s="101"/>
      <c r="AF15" s="15"/>
      <c r="AG15" s="101"/>
      <c r="AH15" s="15"/>
      <c r="AI15" s="101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</row>
    <row r="16" spans="2:69" ht="15.75" customHeight="1" x14ac:dyDescent="0.25">
      <c r="B16" s="30" t="s">
        <v>16</v>
      </c>
      <c r="C16" s="37">
        <v>0.26600000000000001</v>
      </c>
      <c r="D16" s="85">
        <f t="shared" si="11"/>
        <v>0.26353203200948472</v>
      </c>
      <c r="E16" s="1"/>
      <c r="F16" s="120" t="s">
        <v>58</v>
      </c>
      <c r="G16" s="120"/>
      <c r="H16" s="90">
        <f>Z36</f>
        <v>0.81116277684596716</v>
      </c>
      <c r="I16" s="11">
        <v>5502.6</v>
      </c>
      <c r="J16" s="12">
        <v>100.20189999999999</v>
      </c>
      <c r="K16" s="6">
        <v>9.5100000000000004E-2</v>
      </c>
      <c r="L16" s="1"/>
      <c r="M16" s="7">
        <f t="shared" si="0"/>
        <v>2.6167423025601035</v>
      </c>
      <c r="N16" s="7">
        <f t="shared" si="1"/>
        <v>4.7650665235869798E-2</v>
      </c>
      <c r="O16" s="8">
        <f t="shared" si="2"/>
        <v>4.522447442544721E-5</v>
      </c>
      <c r="Q16" s="13">
        <f t="shared" si="3"/>
        <v>4.7608656840768884E-2</v>
      </c>
      <c r="R16" s="7">
        <f t="shared" si="6"/>
        <v>2.6197139513201488</v>
      </c>
      <c r="S16" s="7">
        <f t="shared" si="7"/>
        <v>4.7704778718930391E-2</v>
      </c>
      <c r="T16" s="8">
        <f t="shared" si="8"/>
        <v>4.5275832655571211E-5</v>
      </c>
      <c r="V16" s="13">
        <f t="shared" si="4"/>
        <v>4.6774588142645741E-2</v>
      </c>
      <c r="W16" s="7">
        <f t="shared" si="5"/>
        <v>2.5738184871372249</v>
      </c>
      <c r="X16" s="7">
        <f t="shared" si="9"/>
        <v>4.6869026036105738E-2</v>
      </c>
      <c r="Y16" s="8">
        <f t="shared" si="10"/>
        <v>4.4482633323656097E-5</v>
      </c>
      <c r="AA16" s="16"/>
      <c r="AB16" s="101"/>
      <c r="AC16" s="101"/>
      <c r="AD16" s="101"/>
      <c r="AE16" s="101"/>
      <c r="AF16" s="15"/>
      <c r="AG16" s="101"/>
      <c r="AH16" s="15"/>
      <c r="AI16" s="101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</row>
    <row r="17" spans="2:69" ht="15.75" customHeight="1" x14ac:dyDescent="0.25">
      <c r="B17" s="30" t="s">
        <v>17</v>
      </c>
      <c r="C17" s="37">
        <v>0</v>
      </c>
      <c r="D17" s="85">
        <f t="shared" si="11"/>
        <v>0</v>
      </c>
      <c r="E17" s="1"/>
      <c r="F17" s="119" t="s">
        <v>31</v>
      </c>
      <c r="G17" s="119"/>
      <c r="H17" s="50">
        <f>M29</f>
        <v>1359.3054930038509</v>
      </c>
      <c r="I17" s="11">
        <v>6249</v>
      </c>
      <c r="J17" s="12">
        <v>114.2285</v>
      </c>
      <c r="K17" s="6">
        <v>0.1128</v>
      </c>
      <c r="L17" s="1"/>
      <c r="M17" s="7">
        <f t="shared" si="0"/>
        <v>0.37146127850239169</v>
      </c>
      <c r="N17" s="7">
        <f t="shared" si="1"/>
        <v>6.7901207635478397E-3</v>
      </c>
      <c r="O17" s="8">
        <f t="shared" si="2"/>
        <v>6.7052059873691442E-6</v>
      </c>
      <c r="Q17" s="13">
        <f t="shared" si="3"/>
        <v>5.9510821050961105E-3</v>
      </c>
      <c r="R17" s="7">
        <f t="shared" si="6"/>
        <v>0.37188312074745594</v>
      </c>
      <c r="S17" s="7">
        <f t="shared" si="7"/>
        <v>6.7978318224197112E-3</v>
      </c>
      <c r="T17" s="8">
        <f t="shared" si="8"/>
        <v>6.7128206145484123E-6</v>
      </c>
      <c r="V17" s="13">
        <f t="shared" si="4"/>
        <v>5.8468235178307177E-3</v>
      </c>
      <c r="W17" s="7">
        <f t="shared" si="5"/>
        <v>0.36536800162924155</v>
      </c>
      <c r="X17" s="7">
        <f t="shared" si="9"/>
        <v>6.6787388020652615E-3</v>
      </c>
      <c r="Y17" s="8">
        <f t="shared" si="10"/>
        <v>6.5952169281130488E-6</v>
      </c>
      <c r="AA17" s="16"/>
      <c r="AB17" s="16"/>
      <c r="AC17" s="16"/>
      <c r="AD17" s="101"/>
      <c r="AE17" s="101"/>
      <c r="AF17" s="15"/>
      <c r="AG17" s="101"/>
      <c r="AH17" s="15"/>
      <c r="AI17" s="101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</row>
    <row r="18" spans="2:69" ht="15.75" customHeight="1" x14ac:dyDescent="0.25">
      <c r="B18" s="30" t="s">
        <v>18</v>
      </c>
      <c r="C18" s="37">
        <v>4.8000000000000001E-2</v>
      </c>
      <c r="D18" s="85">
        <f t="shared" si="11"/>
        <v>4.7554652392688967E-2</v>
      </c>
      <c r="E18" s="1"/>
      <c r="F18" s="119" t="s">
        <v>32</v>
      </c>
      <c r="G18" s="119"/>
      <c r="H18" s="28">
        <f>$N$29/28.9625</f>
        <v>0.81058182882590246</v>
      </c>
      <c r="I18" s="11">
        <v>6996.3</v>
      </c>
      <c r="J18" s="12">
        <v>128.2551</v>
      </c>
      <c r="K18" s="6">
        <v>0.13070000000000001</v>
      </c>
      <c r="L18" s="1"/>
      <c r="M18" s="7">
        <f t="shared" si="0"/>
        <v>6.9313878028118725E-2</v>
      </c>
      <c r="N18" s="7">
        <f t="shared" si="1"/>
        <v>1.2706513954353258E-3</v>
      </c>
      <c r="O18" s="8">
        <f t="shared" si="2"/>
        <v>1.2948735557759271E-6</v>
      </c>
      <c r="Q18" s="13">
        <f t="shared" si="3"/>
        <v>9.9184701751601828E-4</v>
      </c>
      <c r="R18" s="7">
        <f t="shared" si="6"/>
        <v>6.9392592886473189E-2</v>
      </c>
      <c r="S18" s="7">
        <f t="shared" si="7"/>
        <v>1.2720943841621867E-3</v>
      </c>
      <c r="T18" s="8">
        <f t="shared" si="8"/>
        <v>1.2963440518934362E-6</v>
      </c>
      <c r="V18" s="13">
        <f t="shared" si="4"/>
        <v>9.7447058630511965E-4</v>
      </c>
      <c r="W18" s="7">
        <f t="shared" si="5"/>
        <v>6.817688562966509E-2</v>
      </c>
      <c r="X18" s="7">
        <f t="shared" si="9"/>
        <v>1.2498082249362175E-3</v>
      </c>
      <c r="Y18" s="8">
        <f t="shared" si="10"/>
        <v>1.2736330563007916E-6</v>
      </c>
      <c r="AA18" s="16"/>
      <c r="AB18" s="16"/>
      <c r="AC18" s="16"/>
      <c r="AD18" s="101"/>
      <c r="AE18" s="101"/>
      <c r="AF18" s="15"/>
      <c r="AG18" s="101"/>
      <c r="AH18" s="15"/>
      <c r="AI18" s="101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</row>
    <row r="19" spans="2:69" ht="15.75" customHeight="1" x14ac:dyDescent="0.25">
      <c r="B19" s="30" t="s">
        <v>19</v>
      </c>
      <c r="C19" s="37">
        <v>6.0000000000000001E-3</v>
      </c>
      <c r="D19" s="85">
        <f t="shared" si="11"/>
        <v>5.9443315490861209E-3</v>
      </c>
      <c r="E19" s="1"/>
      <c r="F19" s="119" t="s">
        <v>55</v>
      </c>
      <c r="G19" s="119"/>
      <c r="H19" s="28">
        <f>1-$O$29^2*14.73</f>
        <v>0.99547447660229593</v>
      </c>
      <c r="I19" s="11">
        <v>7742.9</v>
      </c>
      <c r="J19" s="12">
        <v>142.2817</v>
      </c>
      <c r="K19" s="6">
        <v>0.15559999999999999</v>
      </c>
      <c r="L19" s="1"/>
      <c r="M19" s="7">
        <f t="shared" si="0"/>
        <v>0</v>
      </c>
      <c r="N19" s="7">
        <f t="shared" si="1"/>
        <v>0</v>
      </c>
      <c r="O19" s="8">
        <f t="shared" si="2"/>
        <v>0</v>
      </c>
      <c r="Q19" s="13">
        <f t="shared" si="3"/>
        <v>0</v>
      </c>
      <c r="R19" s="7">
        <f t="shared" si="6"/>
        <v>0</v>
      </c>
      <c r="S19" s="7">
        <f t="shared" si="7"/>
        <v>0</v>
      </c>
      <c r="T19" s="8">
        <f t="shared" si="8"/>
        <v>0</v>
      </c>
      <c r="V19" s="13">
        <f t="shared" si="4"/>
        <v>0</v>
      </c>
      <c r="W19" s="7">
        <f t="shared" si="5"/>
        <v>0</v>
      </c>
      <c r="X19" s="7">
        <f t="shared" si="9"/>
        <v>0</v>
      </c>
      <c r="Y19" s="8">
        <f t="shared" si="10"/>
        <v>0</v>
      </c>
      <c r="AA19" s="16"/>
      <c r="AB19" s="16"/>
      <c r="AC19" s="16"/>
      <c r="AD19" s="101"/>
      <c r="AE19" s="101"/>
      <c r="AF19" s="15"/>
      <c r="AG19" s="101"/>
      <c r="AH19" s="15"/>
      <c r="AI19" s="101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</row>
    <row r="20" spans="2:69" ht="15.75" customHeight="1" x14ac:dyDescent="0.25">
      <c r="B20" s="30" t="s">
        <v>20</v>
      </c>
      <c r="C20" s="37">
        <v>1E-3</v>
      </c>
      <c r="D20" s="85">
        <f t="shared" si="11"/>
        <v>9.9072192484768689E-4</v>
      </c>
      <c r="E20" s="1"/>
      <c r="F20" s="119" t="s">
        <v>56</v>
      </c>
      <c r="G20" s="119"/>
      <c r="H20" s="28">
        <v>0.99958999999999998</v>
      </c>
      <c r="I20" s="11">
        <v>1599.7</v>
      </c>
      <c r="J20" s="12">
        <v>28.0532</v>
      </c>
      <c r="K20" s="5">
        <v>2.07E-2</v>
      </c>
      <c r="L20" s="1"/>
      <c r="M20" s="7">
        <f t="shared" si="0"/>
        <v>0</v>
      </c>
      <c r="N20" s="7">
        <f t="shared" si="1"/>
        <v>0</v>
      </c>
      <c r="O20" s="8">
        <f t="shared" si="2"/>
        <v>0</v>
      </c>
      <c r="Q20" s="13">
        <f t="shared" si="3"/>
        <v>0</v>
      </c>
      <c r="R20" s="7">
        <f t="shared" si="6"/>
        <v>0</v>
      </c>
      <c r="S20" s="7">
        <f t="shared" si="7"/>
        <v>0</v>
      </c>
      <c r="T20" s="8">
        <f t="shared" si="8"/>
        <v>0</v>
      </c>
      <c r="V20" s="13">
        <f t="shared" si="4"/>
        <v>0</v>
      </c>
      <c r="W20" s="7">
        <f t="shared" si="5"/>
        <v>0</v>
      </c>
      <c r="X20" s="7">
        <f t="shared" si="9"/>
        <v>0</v>
      </c>
      <c r="Y20" s="8">
        <f t="shared" si="10"/>
        <v>0</v>
      </c>
      <c r="AA20" s="16"/>
      <c r="AB20" s="16"/>
      <c r="AC20" s="16"/>
      <c r="AD20" s="101"/>
      <c r="AE20" s="101"/>
      <c r="AF20" s="15"/>
      <c r="AG20" s="101"/>
      <c r="AH20" s="15"/>
      <c r="AI20" s="101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</row>
    <row r="21" spans="2:69" ht="15.75" customHeight="1" x14ac:dyDescent="0.25">
      <c r="B21" s="30" t="s">
        <v>21</v>
      </c>
      <c r="C21" s="37">
        <v>0</v>
      </c>
      <c r="D21" s="85">
        <f t="shared" si="11"/>
        <v>0</v>
      </c>
      <c r="E21" s="1"/>
      <c r="F21" s="107" t="s">
        <v>88</v>
      </c>
      <c r="G21" s="108"/>
      <c r="H21" s="113" t="str">
        <f>IF(C30&lt;97,"L",IF(C30&gt;103,"L","J"))</f>
        <v>J</v>
      </c>
      <c r="I21" s="11">
        <v>2333</v>
      </c>
      <c r="J21" s="12">
        <v>42.079700000000003</v>
      </c>
      <c r="K21" s="5">
        <v>3.27E-2</v>
      </c>
      <c r="L21" s="1"/>
      <c r="M21" s="7">
        <f t="shared" si="0"/>
        <v>0</v>
      </c>
      <c r="N21" s="7">
        <f t="shared" si="1"/>
        <v>0</v>
      </c>
      <c r="O21" s="8">
        <f t="shared" si="2"/>
        <v>0</v>
      </c>
      <c r="Q21" s="13">
        <f t="shared" si="3"/>
        <v>0</v>
      </c>
      <c r="R21" s="7">
        <f t="shared" si="6"/>
        <v>0</v>
      </c>
      <c r="S21" s="7">
        <f t="shared" si="7"/>
        <v>0</v>
      </c>
      <c r="T21" s="8">
        <f t="shared" si="8"/>
        <v>0</v>
      </c>
      <c r="V21" s="13">
        <f t="shared" si="4"/>
        <v>0</v>
      </c>
      <c r="W21" s="7">
        <f t="shared" si="5"/>
        <v>0</v>
      </c>
      <c r="X21" s="7">
        <f t="shared" si="9"/>
        <v>0</v>
      </c>
      <c r="Y21" s="8">
        <f t="shared" si="10"/>
        <v>0</v>
      </c>
      <c r="AA21" s="16"/>
      <c r="AB21" s="16"/>
      <c r="AC21" s="16"/>
      <c r="AD21" s="101"/>
      <c r="AE21" s="101"/>
      <c r="AF21" s="15"/>
      <c r="AG21" s="101"/>
      <c r="AH21" s="15"/>
      <c r="AI21" s="101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</row>
    <row r="22" spans="2:69" ht="15.75" customHeight="1" x14ac:dyDescent="0.25">
      <c r="B22" s="30" t="s">
        <v>22</v>
      </c>
      <c r="C22" s="37">
        <v>0</v>
      </c>
      <c r="D22" s="85">
        <f t="shared" si="11"/>
        <v>0</v>
      </c>
      <c r="E22" s="1"/>
      <c r="F22" s="109"/>
      <c r="G22" s="110"/>
      <c r="H22" s="114"/>
      <c r="I22" s="11">
        <v>0</v>
      </c>
      <c r="J22" s="12">
        <v>44.009500000000003</v>
      </c>
      <c r="K22" s="6">
        <v>1.95E-2</v>
      </c>
      <c r="L22" s="1"/>
      <c r="M22" s="7">
        <f t="shared" si="0"/>
        <v>0</v>
      </c>
      <c r="N22" s="7">
        <f t="shared" si="1"/>
        <v>0.38369035365394166</v>
      </c>
      <c r="O22" s="8">
        <f t="shared" si="2"/>
        <v>1.7000788230386307E-4</v>
      </c>
      <c r="Q22" s="13">
        <f t="shared" si="3"/>
        <v>0.87282537541409611</v>
      </c>
      <c r="R22" s="7">
        <f t="shared" si="6"/>
        <v>0</v>
      </c>
      <c r="S22" s="7">
        <f t="shared" si="7"/>
        <v>0.38412608359286665</v>
      </c>
      <c r="T22" s="8">
        <f t="shared" si="8"/>
        <v>1.7020094820574874E-4</v>
      </c>
      <c r="V22" s="13">
        <f t="shared" si="4"/>
        <v>0.85753411594850526</v>
      </c>
      <c r="W22" s="7">
        <f t="shared" si="5"/>
        <v>0</v>
      </c>
      <c r="X22" s="7">
        <f t="shared" si="9"/>
        <v>0.37739647675835747</v>
      </c>
      <c r="Y22" s="8">
        <f t="shared" si="10"/>
        <v>1.6721915260995855E-4</v>
      </c>
      <c r="AA22" s="16"/>
      <c r="AB22" s="16"/>
      <c r="AC22" s="16"/>
      <c r="AD22" s="101"/>
      <c r="AE22" s="101"/>
      <c r="AF22" s="15"/>
      <c r="AG22" s="101"/>
      <c r="AH22" s="15"/>
      <c r="AI22" s="101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</row>
    <row r="23" spans="2:69" ht="15.75" customHeight="1" thickBot="1" x14ac:dyDescent="0.3">
      <c r="B23" s="30" t="s">
        <v>23</v>
      </c>
      <c r="C23" s="37">
        <v>0</v>
      </c>
      <c r="D23" s="85">
        <f t="shared" si="11"/>
        <v>0</v>
      </c>
      <c r="E23" s="1"/>
      <c r="F23" s="111"/>
      <c r="G23" s="112"/>
      <c r="H23" s="115"/>
      <c r="I23" s="11">
        <v>637.1</v>
      </c>
      <c r="J23" s="12">
        <v>34.0809</v>
      </c>
      <c r="K23" s="5">
        <v>2.3900000000000001E-2</v>
      </c>
      <c r="M23" s="7">
        <f t="shared" si="0"/>
        <v>0</v>
      </c>
      <c r="N23" s="7">
        <f t="shared" si="1"/>
        <v>0</v>
      </c>
      <c r="O23" s="8">
        <f t="shared" si="2"/>
        <v>0</v>
      </c>
      <c r="Q23" s="13">
        <f t="shared" si="3"/>
        <v>0</v>
      </c>
      <c r="R23" s="7">
        <f t="shared" si="6"/>
        <v>0</v>
      </c>
      <c r="S23" s="7">
        <f t="shared" si="7"/>
        <v>0</v>
      </c>
      <c r="T23" s="8">
        <f t="shared" si="8"/>
        <v>0</v>
      </c>
      <c r="V23" s="13">
        <f t="shared" si="4"/>
        <v>0</v>
      </c>
      <c r="W23" s="7">
        <f t="shared" si="5"/>
        <v>0</v>
      </c>
      <c r="X23" s="7">
        <f t="shared" si="9"/>
        <v>0</v>
      </c>
      <c r="Y23" s="8">
        <f t="shared" si="10"/>
        <v>0</v>
      </c>
      <c r="AA23" s="16"/>
      <c r="AB23" s="16"/>
      <c r="AC23" s="16"/>
      <c r="AD23" s="101"/>
      <c r="AE23" s="101"/>
      <c r="AF23" s="15"/>
      <c r="AG23" s="101"/>
      <c r="AH23" s="15"/>
      <c r="AI23" s="101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</row>
    <row r="24" spans="2:69" ht="15.75" customHeight="1" x14ac:dyDescent="0.25">
      <c r="B24" s="30" t="s">
        <v>24</v>
      </c>
      <c r="C24" s="37">
        <v>0.88</v>
      </c>
      <c r="D24" s="85">
        <f t="shared" si="11"/>
        <v>0.87183529386596448</v>
      </c>
      <c r="E24" s="1"/>
      <c r="F24" s="137" t="s">
        <v>62</v>
      </c>
      <c r="G24" s="138"/>
      <c r="H24" s="139"/>
      <c r="I24" s="11">
        <v>0</v>
      </c>
      <c r="J24" s="12">
        <v>28.013400000000001</v>
      </c>
      <c r="K24" s="6">
        <v>4.4200000000000003E-3</v>
      </c>
      <c r="L24" s="1"/>
      <c r="M24" s="7">
        <f t="shared" si="0"/>
        <v>0</v>
      </c>
      <c r="N24" s="7">
        <f t="shared" si="1"/>
        <v>0.45959778727138684</v>
      </c>
      <c r="O24" s="8">
        <f t="shared" si="2"/>
        <v>7.2516089433611417E-5</v>
      </c>
      <c r="Q24" s="13">
        <f t="shared" si="3"/>
        <v>1.6424986610065262</v>
      </c>
      <c r="R24" s="7">
        <f t="shared" si="6"/>
        <v>0</v>
      </c>
      <c r="S24" s="7">
        <f t="shared" si="7"/>
        <v>0.46011971990240219</v>
      </c>
      <c r="T24" s="8">
        <f t="shared" si="8"/>
        <v>7.2598440816488467E-5</v>
      </c>
      <c r="V24" s="13">
        <f t="shared" si="4"/>
        <v>1.613723290921278</v>
      </c>
      <c r="W24" s="7">
        <f t="shared" si="5"/>
        <v>0</v>
      </c>
      <c r="X24" s="7">
        <f t="shared" si="9"/>
        <v>0.45205876037894127</v>
      </c>
      <c r="Y24" s="8">
        <f t="shared" si="10"/>
        <v>7.1326569458720495E-5</v>
      </c>
      <c r="AA24" s="16"/>
      <c r="AB24" s="16"/>
      <c r="AC24" s="16"/>
      <c r="AD24" s="101"/>
      <c r="AE24" s="101"/>
      <c r="AF24" s="15"/>
      <c r="AG24" s="101"/>
      <c r="AH24" s="15"/>
      <c r="AI24" s="101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</row>
    <row r="25" spans="2:69" ht="15.75" customHeight="1" thickBot="1" x14ac:dyDescent="0.3">
      <c r="B25" s="30" t="s">
        <v>25</v>
      </c>
      <c r="C25" s="37">
        <v>0</v>
      </c>
      <c r="D25" s="85">
        <f t="shared" si="11"/>
        <v>0</v>
      </c>
      <c r="F25" s="140"/>
      <c r="G25" s="141"/>
      <c r="H25" s="142"/>
      <c r="I25" s="11">
        <v>0</v>
      </c>
      <c r="J25" s="12">
        <v>31.998799999999999</v>
      </c>
      <c r="K25" s="5">
        <v>7.1999999999999998E-3</v>
      </c>
      <c r="L25" s="1"/>
      <c r="M25" s="7">
        <f t="shared" si="0"/>
        <v>0</v>
      </c>
      <c r="N25" s="7">
        <f t="shared" si="1"/>
        <v>1.5850956364408082E-3</v>
      </c>
      <c r="O25" s="8">
        <f t="shared" si="2"/>
        <v>3.5665989294516727E-7</v>
      </c>
      <c r="Q25" s="13">
        <f t="shared" si="3"/>
        <v>4.9592350875800918E-3</v>
      </c>
      <c r="R25" s="7">
        <f t="shared" si="6"/>
        <v>0</v>
      </c>
      <c r="S25" s="7">
        <f t="shared" si="7"/>
        <v>1.5868957172045783E-3</v>
      </c>
      <c r="T25" s="8">
        <f t="shared" si="8"/>
        <v>3.5706492630576658E-7</v>
      </c>
      <c r="V25" s="13">
        <f t="shared" si="4"/>
        <v>4.8723529315255979E-3</v>
      </c>
      <c r="W25" s="7">
        <f t="shared" si="5"/>
        <v>0</v>
      </c>
      <c r="X25" s="7">
        <f t="shared" si="9"/>
        <v>1.5590944698530129E-3</v>
      </c>
      <c r="Y25" s="8">
        <f t="shared" si="10"/>
        <v>3.5080941106984304E-7</v>
      </c>
      <c r="AA25" s="16"/>
      <c r="AB25" s="16"/>
      <c r="AC25" s="16"/>
      <c r="AD25" s="101"/>
      <c r="AE25" s="101"/>
      <c r="AF25" s="15"/>
      <c r="AG25" s="101"/>
      <c r="AH25" s="15"/>
      <c r="AI25" s="101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</row>
    <row r="26" spans="2:69" ht="15.75" customHeight="1" thickBot="1" x14ac:dyDescent="0.3">
      <c r="B26" s="30" t="s">
        <v>26</v>
      </c>
      <c r="C26" s="37">
        <v>1.6559999999999999</v>
      </c>
      <c r="D26" s="85">
        <f t="shared" si="11"/>
        <v>1.6406355075477694</v>
      </c>
      <c r="E26" s="1"/>
      <c r="F26" s="104" t="s">
        <v>85</v>
      </c>
      <c r="G26" s="105"/>
      <c r="H26" s="106"/>
      <c r="I26" s="11">
        <v>0</v>
      </c>
      <c r="J26" s="12">
        <v>4.0026000000000002</v>
      </c>
      <c r="K26" s="5">
        <v>0</v>
      </c>
      <c r="L26" s="1"/>
      <c r="M26" s="7">
        <f t="shared" si="0"/>
        <v>0</v>
      </c>
      <c r="N26" s="7">
        <f t="shared" si="1"/>
        <v>0</v>
      </c>
      <c r="O26" s="8">
        <f t="shared" si="2"/>
        <v>0</v>
      </c>
      <c r="Q26" s="13">
        <f t="shared" si="3"/>
        <v>0</v>
      </c>
      <c r="R26" s="7">
        <f t="shared" si="6"/>
        <v>0</v>
      </c>
      <c r="S26" s="7">
        <f t="shared" si="7"/>
        <v>0</v>
      </c>
      <c r="T26" s="8">
        <f t="shared" si="8"/>
        <v>0</v>
      </c>
      <c r="V26" s="13">
        <f t="shared" si="4"/>
        <v>0</v>
      </c>
      <c r="W26" s="7">
        <f t="shared" si="5"/>
        <v>0</v>
      </c>
      <c r="X26" s="7">
        <f t="shared" si="9"/>
        <v>0</v>
      </c>
      <c r="Y26" s="8">
        <f t="shared" si="10"/>
        <v>0</v>
      </c>
      <c r="AA26" s="16"/>
      <c r="AB26" s="16"/>
      <c r="AC26" s="16"/>
      <c r="AD26" s="101"/>
      <c r="AE26" s="101"/>
      <c r="AF26" s="15"/>
      <c r="AG26" s="101"/>
      <c r="AH26" s="15"/>
      <c r="AI26" s="101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</row>
    <row r="27" spans="2:69" ht="15.75" customHeight="1" thickBot="1" x14ac:dyDescent="0.3">
      <c r="B27" s="30" t="s">
        <v>27</v>
      </c>
      <c r="C27" s="37">
        <v>5.0000000000000001E-3</v>
      </c>
      <c r="D27" s="85">
        <f t="shared" si="11"/>
        <v>4.9536096242384347E-3</v>
      </c>
      <c r="E27" s="1"/>
      <c r="F27" s="104" t="s">
        <v>84</v>
      </c>
      <c r="G27" s="105"/>
      <c r="H27" s="106"/>
      <c r="I27" s="11">
        <v>0</v>
      </c>
      <c r="J27" s="12">
        <v>18.0153</v>
      </c>
      <c r="K27" s="5">
        <v>6.5100000000000005E-2</v>
      </c>
      <c r="L27" s="1"/>
      <c r="M27" s="7">
        <f t="shared" si="0"/>
        <v>0</v>
      </c>
      <c r="N27" s="7">
        <f t="shared" si="1"/>
        <v>2.0435492157404478E-2</v>
      </c>
      <c r="O27" s="8">
        <f t="shared" si="2"/>
        <v>7.3845594547247706E-5</v>
      </c>
      <c r="Q27" s="26"/>
      <c r="R27" s="7">
        <f t="shared" si="6"/>
        <v>0</v>
      </c>
      <c r="S27" s="7">
        <f t="shared" si="7"/>
        <v>0</v>
      </c>
      <c r="T27" s="8">
        <f t="shared" si="8"/>
        <v>0</v>
      </c>
      <c r="V27" s="13">
        <f>V1</f>
        <v>1.7519265475452177</v>
      </c>
      <c r="W27" s="7">
        <f t="shared" si="5"/>
        <v>0</v>
      </c>
      <c r="X27" s="7">
        <f t="shared" si="9"/>
        <v>0.31561482331991358</v>
      </c>
      <c r="Y27" s="8">
        <f t="shared" si="10"/>
        <v>1.1405041824519369E-3</v>
      </c>
      <c r="AA27" s="16"/>
      <c r="AB27" s="16"/>
      <c r="AC27" s="16"/>
      <c r="AD27" s="101"/>
      <c r="AE27" s="101"/>
      <c r="AF27" s="15"/>
      <c r="AG27" s="101"/>
      <c r="AH27" s="15"/>
      <c r="AI27" s="101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</row>
    <row r="28" spans="2:69" ht="15.75" customHeight="1" thickBot="1" x14ac:dyDescent="0.3">
      <c r="B28" s="30" t="s">
        <v>28</v>
      </c>
      <c r="C28" s="38">
        <v>0</v>
      </c>
      <c r="D28" s="86">
        <f t="shared" si="11"/>
        <v>0</v>
      </c>
      <c r="E28" s="1"/>
      <c r="F28" s="143" t="s">
        <v>59</v>
      </c>
      <c r="G28" s="143"/>
      <c r="H28" s="79">
        <v>1370.2</v>
      </c>
      <c r="I28" s="1"/>
      <c r="J28" s="1"/>
      <c r="K28" s="1"/>
      <c r="L28" s="1"/>
      <c r="M28" s="1"/>
      <c r="N28" s="1"/>
      <c r="P28">
        <f>100/P29</f>
        <v>0.99184701751601834</v>
      </c>
      <c r="Q28" s="1"/>
      <c r="R28" s="1"/>
      <c r="S28" s="1"/>
      <c r="V28">
        <f>(100-V27)/C30</f>
        <v>0.97447058630511962</v>
      </c>
      <c r="W28" s="1"/>
      <c r="X28" s="1"/>
      <c r="AA28" s="16"/>
      <c r="AB28" s="16"/>
      <c r="AC28" s="16"/>
      <c r="AD28" s="101"/>
      <c r="AE28" s="101"/>
      <c r="AF28" s="15"/>
      <c r="AG28" s="101"/>
      <c r="AH28" s="15"/>
      <c r="AI28" s="101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</row>
    <row r="29" spans="2:69" ht="15.75" customHeight="1" x14ac:dyDescent="0.25">
      <c r="B29" s="30" t="s">
        <v>29</v>
      </c>
      <c r="C29" s="88">
        <f>IF(P49=1,I1,IF(P49=2,J1, IF(P49=3,AF10,"0")))</f>
        <v>0.11343409300652489</v>
      </c>
      <c r="D29" s="86">
        <f>C29</f>
        <v>0.11343409300652489</v>
      </c>
      <c r="E29" s="1"/>
      <c r="F29" s="119" t="s">
        <v>60</v>
      </c>
      <c r="G29" s="119"/>
      <c r="H29" s="50">
        <f>H28*(1000000/(1000000+(B7/18.0153*378.609)))</f>
        <v>1368.6467742821676</v>
      </c>
      <c r="I29" s="1"/>
      <c r="J29" s="1"/>
      <c r="K29" s="1"/>
      <c r="L29" s="1"/>
      <c r="M29">
        <f t="shared" ref="M29:N29" si="12">SUM(M7:M28)</f>
        <v>1359.3054930038509</v>
      </c>
      <c r="N29">
        <f t="shared" si="12"/>
        <v>23.476476217370198</v>
      </c>
      <c r="O29">
        <f>SUM(O7:O28)</f>
        <v>1.7528027014043306E-2</v>
      </c>
      <c r="P29" s="9">
        <f>SUM(C9:C28)</f>
        <v>100.822</v>
      </c>
      <c r="Q29" s="9">
        <f>SUM(Q7:Q27)</f>
        <v>99.999999999999986</v>
      </c>
      <c r="R29" s="1">
        <f>SUM(R7:R28)</f>
        <v>1360.8491599055762</v>
      </c>
      <c r="S29">
        <f t="shared" ref="S29" si="13">SUM(S7:S28)</f>
        <v>23.482678088115698</v>
      </c>
      <c r="T29">
        <f>SUM(T7:T28)</f>
        <v>1.7474002896193289E-2</v>
      </c>
      <c r="V29" s="9">
        <f>SUM(V7:V27)</f>
        <v>100</v>
      </c>
      <c r="W29" s="1">
        <f>SUM(W7:W28)</f>
        <v>1337.0080822011441</v>
      </c>
      <c r="X29">
        <f t="shared" ref="X29" si="14">SUM(X7:X28)</f>
        <v>23.38689363993532</v>
      </c>
      <c r="Y29">
        <f>SUM(Y7:Y28)</f>
        <v>1.8308375382987994E-2</v>
      </c>
      <c r="AF29" s="36"/>
      <c r="AG29" s="36"/>
    </row>
    <row r="30" spans="2:69" ht="15.75" customHeight="1" x14ac:dyDescent="0.25">
      <c r="B30" s="77" t="s">
        <v>30</v>
      </c>
      <c r="C30" s="87">
        <f>SUM(C9:C28)</f>
        <v>100.822</v>
      </c>
      <c r="D30" s="87">
        <f>SUM(D9:D29)</f>
        <v>100.00000000000001</v>
      </c>
      <c r="E30" s="1"/>
      <c r="F30" s="119" t="s">
        <v>61</v>
      </c>
      <c r="G30" s="119"/>
      <c r="H30" s="50">
        <f>H13*(1000000/(1000000+(B7/18.0153*378.609)))</f>
        <v>1368.6069058484336</v>
      </c>
      <c r="AF30" s="36"/>
      <c r="AG30" s="36"/>
    </row>
    <row r="31" spans="2:69" ht="15.75" customHeight="1" x14ac:dyDescent="0.25">
      <c r="E31" s="1"/>
      <c r="F31" s="1"/>
      <c r="G31" s="1"/>
      <c r="H31" s="1"/>
      <c r="O31" s="1"/>
      <c r="P31" s="131"/>
      <c r="Q31" s="131"/>
      <c r="S31" s="9">
        <f>R29</f>
        <v>1360.8491599055762</v>
      </c>
      <c r="V31" s="131" t="s">
        <v>31</v>
      </c>
      <c r="W31" s="131"/>
      <c r="X31" s="131"/>
      <c r="Z31" s="9">
        <f>W29</f>
        <v>1337.0080822011441</v>
      </c>
      <c r="AF31" s="36"/>
      <c r="AG31" s="36"/>
    </row>
    <row r="32" spans="2:69" x14ac:dyDescent="0.25">
      <c r="P32" s="131"/>
      <c r="Q32" s="131"/>
      <c r="S32" s="9">
        <f>S29/28.9625</f>
        <v>0.81079596333588944</v>
      </c>
      <c r="V32" s="131" t="s">
        <v>32</v>
      </c>
      <c r="W32" s="131"/>
      <c r="X32" s="131"/>
      <c r="Z32" s="9">
        <f>X29/28.9625</f>
        <v>0.80748877479276027</v>
      </c>
      <c r="AF32" s="36"/>
      <c r="AG32" s="36"/>
    </row>
    <row r="33" spans="2:33" x14ac:dyDescent="0.25">
      <c r="P33" s="131"/>
      <c r="Q33" s="131"/>
      <c r="S33" s="27">
        <f>1-T29^2*14.73</f>
        <v>0.99550233035160585</v>
      </c>
      <c r="V33" s="131" t="s">
        <v>33</v>
      </c>
      <c r="W33" s="131"/>
      <c r="X33" s="131"/>
      <c r="Z33" s="9">
        <f>1-Y29^2*14.73</f>
        <v>0.99506255394700838</v>
      </c>
      <c r="AF33" s="36"/>
      <c r="AG33" s="36"/>
    </row>
    <row r="34" spans="2:33" x14ac:dyDescent="0.25">
      <c r="P34" s="131"/>
      <c r="Q34" s="131"/>
      <c r="S34" s="9">
        <v>0.99958999999999998</v>
      </c>
      <c r="V34" s="131" t="s">
        <v>34</v>
      </c>
      <c r="W34" s="131"/>
      <c r="X34" s="131"/>
      <c r="Z34" s="9">
        <v>0.99958999999999998</v>
      </c>
    </row>
    <row r="35" spans="2:33" x14ac:dyDescent="0.25">
      <c r="P35" s="132"/>
      <c r="Q35" s="132"/>
      <c r="S35" s="10">
        <f>S31*14.73/($S$33*14.696)</f>
        <v>1370.1600863210811</v>
      </c>
      <c r="V35" s="132" t="s">
        <v>52</v>
      </c>
      <c r="W35" s="132"/>
      <c r="X35" s="132"/>
      <c r="Z35" s="10">
        <f>Z31*14.73/($Z$33*14.696)</f>
        <v>1346.7508331307811</v>
      </c>
    </row>
    <row r="36" spans="2:33" x14ac:dyDescent="0.25">
      <c r="P36" s="132"/>
      <c r="Q36" s="132"/>
      <c r="S36" s="10">
        <f>S32*S34/$S$33</f>
        <v>0.81412520320738024</v>
      </c>
      <c r="V36" s="132" t="s">
        <v>53</v>
      </c>
      <c r="W36" s="132"/>
      <c r="X36" s="132"/>
      <c r="Z36" s="10">
        <f>Z32*Z34/Z33</f>
        <v>0.81116277684596716</v>
      </c>
    </row>
    <row r="37" spans="2:33" x14ac:dyDescent="0.25">
      <c r="P37" s="24"/>
      <c r="Q37" s="24"/>
    </row>
    <row r="38" spans="2:33" x14ac:dyDescent="0.25">
      <c r="P38" s="131"/>
      <c r="Q38" s="131"/>
    </row>
    <row r="39" spans="2:33" x14ac:dyDescent="0.25">
      <c r="I39" s="9"/>
      <c r="P39" s="131"/>
      <c r="Q39" s="131"/>
      <c r="S39" s="9"/>
    </row>
    <row r="41" spans="2:33" x14ac:dyDescent="0.25">
      <c r="B41" s="52"/>
      <c r="C41" s="52"/>
      <c r="D41" s="53"/>
    </row>
    <row r="43" spans="2:33" x14ac:dyDescent="0.25">
      <c r="P43" s="80" t="s">
        <v>82</v>
      </c>
    </row>
    <row r="44" spans="2:33" ht="17.25" x14ac:dyDescent="0.25">
      <c r="P44" s="81" t="s">
        <v>81</v>
      </c>
    </row>
    <row r="45" spans="2:33" x14ac:dyDescent="0.25">
      <c r="P45" s="78" t="s">
        <v>129</v>
      </c>
    </row>
    <row r="46" spans="2:33" x14ac:dyDescent="0.25">
      <c r="P46" s="78"/>
    </row>
    <row r="47" spans="2:33" x14ac:dyDescent="0.25">
      <c r="P47" s="78"/>
    </row>
    <row r="48" spans="2:33" x14ac:dyDescent="0.25">
      <c r="P48" s="78"/>
    </row>
    <row r="49" spans="16:16" x14ac:dyDescent="0.25">
      <c r="P49" s="78">
        <v>1</v>
      </c>
    </row>
  </sheetData>
  <sheetProtection sheet="1" objects="1" scenarios="1"/>
  <mergeCells count="43">
    <mergeCell ref="B1:H1"/>
    <mergeCell ref="F29:G29"/>
    <mergeCell ref="F30:G30"/>
    <mergeCell ref="F24:H25"/>
    <mergeCell ref="F14:G14"/>
    <mergeCell ref="F15:G15"/>
    <mergeCell ref="F16:G16"/>
    <mergeCell ref="F26:H26"/>
    <mergeCell ref="F27:H27"/>
    <mergeCell ref="F28:G28"/>
    <mergeCell ref="B7:D7"/>
    <mergeCell ref="F18:G18"/>
    <mergeCell ref="F19:G19"/>
    <mergeCell ref="F20:G20"/>
    <mergeCell ref="F11:G11"/>
    <mergeCell ref="F12:G12"/>
    <mergeCell ref="P38:Q38"/>
    <mergeCell ref="P39:Q39"/>
    <mergeCell ref="P32:Q32"/>
    <mergeCell ref="P33:Q33"/>
    <mergeCell ref="P34:Q34"/>
    <mergeCell ref="P35:Q35"/>
    <mergeCell ref="I2:O3"/>
    <mergeCell ref="V33:X33"/>
    <mergeCell ref="V34:X34"/>
    <mergeCell ref="V35:X35"/>
    <mergeCell ref="V36:X36"/>
    <mergeCell ref="V2:Y3"/>
    <mergeCell ref="Q2:T3"/>
    <mergeCell ref="V31:X31"/>
    <mergeCell ref="P31:Q31"/>
    <mergeCell ref="V32:X32"/>
    <mergeCell ref="P36:Q36"/>
    <mergeCell ref="B2:H2"/>
    <mergeCell ref="F21:G23"/>
    <mergeCell ref="H21:H23"/>
    <mergeCell ref="F10:H10"/>
    <mergeCell ref="F17:G17"/>
    <mergeCell ref="F13:G13"/>
    <mergeCell ref="B3:H4"/>
    <mergeCell ref="F6:H6"/>
    <mergeCell ref="F7:G7"/>
    <mergeCell ref="F8:G8"/>
  </mergeCells>
  <conditionalFormatting sqref="H21">
    <cfRule type="cellIs" dxfId="1" priority="1" operator="equal">
      <formula>"J"</formula>
    </cfRule>
    <cfRule type="cellIs" dxfId="0" priority="2" operator="equal">
      <formula>"L"</formula>
    </cfRule>
  </conditionalFormatting>
  <pageMargins left="0.7" right="0.7" top="0.75" bottom="0.75" header="0.3" footer="0.3"/>
  <pageSetup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1</xdr:col>
                    <xdr:colOff>19050</xdr:colOff>
                    <xdr:row>4</xdr:row>
                    <xdr:rowOff>190500</xdr:rowOff>
                  </from>
                  <to>
                    <xdr:col>4</xdr:col>
                    <xdr:colOff>0</xdr:colOff>
                    <xdr:row>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N52" sqref="N5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4"/>
  <sheetViews>
    <sheetView workbookViewId="0">
      <selection activeCell="C6" sqref="C6"/>
    </sheetView>
  </sheetViews>
  <sheetFormatPr defaultRowHeight="15" x14ac:dyDescent="0.25"/>
  <cols>
    <col min="2" max="2" width="11.5703125" bestFit="1" customWidth="1"/>
    <col min="3" max="3" width="12.28515625" bestFit="1" customWidth="1"/>
    <col min="4" max="4" width="12" customWidth="1"/>
    <col min="5" max="5" width="10.7109375" bestFit="1" customWidth="1"/>
    <col min="6" max="6" width="11.85546875" bestFit="1" customWidth="1"/>
    <col min="7" max="7" width="11.140625" bestFit="1" customWidth="1"/>
    <col min="8" max="13" width="11.7109375" customWidth="1"/>
  </cols>
  <sheetData>
    <row r="1" spans="1:13" ht="15.75" thickBot="1" x14ac:dyDescent="0.3"/>
    <row r="2" spans="1:13" ht="15.75" thickBot="1" x14ac:dyDescent="0.3">
      <c r="B2" s="149" t="s">
        <v>63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1"/>
    </row>
    <row r="3" spans="1:13" ht="18.75" thickBot="1" x14ac:dyDescent="0.3">
      <c r="A3" s="41"/>
      <c r="B3" s="152" t="s">
        <v>64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4"/>
    </row>
    <row r="4" spans="1:13" ht="15.75" thickBot="1" x14ac:dyDescent="0.3">
      <c r="A4" s="41"/>
      <c r="B4" s="155" t="s">
        <v>65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7"/>
    </row>
    <row r="5" spans="1:13" ht="18.75" thickBot="1" x14ac:dyDescent="0.3">
      <c r="A5" s="48"/>
      <c r="B5" s="54" t="s">
        <v>66</v>
      </c>
      <c r="C5" s="55" t="s">
        <v>67</v>
      </c>
      <c r="D5" s="56"/>
      <c r="E5" s="55" t="s">
        <v>68</v>
      </c>
      <c r="F5" s="55" t="s">
        <v>69</v>
      </c>
      <c r="G5" s="55" t="s">
        <v>70</v>
      </c>
      <c r="H5" s="158" t="s">
        <v>71</v>
      </c>
      <c r="I5" s="158"/>
      <c r="J5" s="158"/>
      <c r="K5" s="158"/>
      <c r="L5" s="158"/>
      <c r="M5" s="158"/>
    </row>
    <row r="6" spans="1:13" ht="18.75" thickBot="1" x14ac:dyDescent="0.3">
      <c r="A6" s="48"/>
      <c r="B6" s="57" t="s">
        <v>9</v>
      </c>
      <c r="C6" s="58">
        <v>4.1950000000000003</v>
      </c>
      <c r="D6" s="59">
        <v>-4</v>
      </c>
      <c r="E6" s="60">
        <f t="shared" ref="E6:E22" si="0">IF(C6="",NA(),LOG(ABS(C6*(10^D6)),10))</f>
        <v>-3.3772680348352804</v>
      </c>
      <c r="F6" s="61">
        <v>16.042999999999999</v>
      </c>
      <c r="G6" s="62">
        <f t="shared" ref="G6:G22" si="1">LOG(F6,10)</f>
        <v>1.2052855835005247</v>
      </c>
      <c r="H6" s="34"/>
      <c r="I6" s="34"/>
      <c r="J6" s="34"/>
      <c r="K6" s="34"/>
      <c r="L6" s="35"/>
      <c r="M6" s="35"/>
    </row>
    <row r="7" spans="1:13" ht="16.5" thickBot="1" x14ac:dyDescent="0.3">
      <c r="A7" s="49"/>
      <c r="B7" s="57" t="s">
        <v>29</v>
      </c>
      <c r="C7" s="63"/>
      <c r="D7" s="64">
        <v>1</v>
      </c>
      <c r="E7" s="65" t="e">
        <f t="shared" si="0"/>
        <v>#N/A</v>
      </c>
      <c r="F7" s="66">
        <v>18.0153</v>
      </c>
      <c r="G7" s="67">
        <f t="shared" si="1"/>
        <v>1.2556414986128892</v>
      </c>
      <c r="H7" s="34"/>
      <c r="I7" s="34"/>
      <c r="J7" s="33"/>
      <c r="K7" s="68"/>
      <c r="L7" s="68"/>
      <c r="M7" s="68"/>
    </row>
    <row r="8" spans="1:13" ht="16.5" thickBot="1" x14ac:dyDescent="0.3">
      <c r="A8" s="43"/>
      <c r="B8" s="57" t="s">
        <v>72</v>
      </c>
      <c r="C8" s="63"/>
      <c r="D8" s="64">
        <v>1</v>
      </c>
      <c r="E8" s="65" t="e">
        <f t="shared" si="0"/>
        <v>#N/A</v>
      </c>
      <c r="F8" s="66">
        <v>28.01</v>
      </c>
      <c r="G8" s="67">
        <f t="shared" si="1"/>
        <v>1.447313108823568</v>
      </c>
      <c r="H8" s="35"/>
      <c r="I8" s="68"/>
      <c r="J8" s="33"/>
      <c r="K8" s="68"/>
      <c r="L8" s="68"/>
      <c r="M8" s="68"/>
    </row>
    <row r="9" spans="1:13" ht="16.5" thickBot="1" x14ac:dyDescent="0.3">
      <c r="A9" s="44"/>
      <c r="B9" s="57" t="s">
        <v>26</v>
      </c>
      <c r="C9" s="63"/>
      <c r="D9" s="64">
        <v>1</v>
      </c>
      <c r="E9" s="65" t="e">
        <f t="shared" si="0"/>
        <v>#N/A</v>
      </c>
      <c r="F9" s="66">
        <v>28.013400000000001</v>
      </c>
      <c r="G9" s="67">
        <f t="shared" si="1"/>
        <v>1.4473658225553403</v>
      </c>
      <c r="H9" s="35"/>
      <c r="I9" s="68"/>
      <c r="J9" s="33"/>
      <c r="K9" s="68"/>
      <c r="L9" s="68"/>
      <c r="M9" s="68"/>
    </row>
    <row r="10" spans="1:13" ht="16.5" thickBot="1" x14ac:dyDescent="0.3">
      <c r="A10" s="44"/>
      <c r="B10" s="57" t="s">
        <v>10</v>
      </c>
      <c r="C10" s="63">
        <v>2.83</v>
      </c>
      <c r="D10" s="64">
        <v>-4</v>
      </c>
      <c r="E10" s="65">
        <f t="shared" si="0"/>
        <v>-3.5482135644757093</v>
      </c>
      <c r="F10" s="66">
        <v>30.07</v>
      </c>
      <c r="G10" s="67">
        <f t="shared" si="1"/>
        <v>1.4781334281005174</v>
      </c>
      <c r="H10" s="35"/>
      <c r="I10" s="68"/>
      <c r="J10" s="33"/>
      <c r="K10" s="68"/>
      <c r="L10" s="68"/>
      <c r="M10" s="68"/>
    </row>
    <row r="11" spans="1:13" ht="16.5" thickBot="1" x14ac:dyDescent="0.3">
      <c r="A11" s="44"/>
      <c r="B11" s="57" t="s">
        <v>25</v>
      </c>
      <c r="C11" s="63"/>
      <c r="D11" s="64">
        <v>1</v>
      </c>
      <c r="E11" s="65" t="e">
        <f t="shared" si="0"/>
        <v>#N/A</v>
      </c>
      <c r="F11" s="66">
        <v>34.08</v>
      </c>
      <c r="G11" s="67">
        <f t="shared" si="1"/>
        <v>1.5324995860946622</v>
      </c>
      <c r="H11" s="35"/>
      <c r="I11" s="68"/>
      <c r="J11" s="33"/>
      <c r="K11" s="68"/>
      <c r="L11" s="68"/>
      <c r="M11" s="68"/>
    </row>
    <row r="12" spans="1:13" ht="16.5" thickBot="1" x14ac:dyDescent="0.3">
      <c r="A12" s="44"/>
      <c r="B12" s="57" t="s">
        <v>24</v>
      </c>
      <c r="C12" s="63"/>
      <c r="D12" s="64">
        <v>1</v>
      </c>
      <c r="E12" s="65" t="e">
        <f t="shared" si="0"/>
        <v>#N/A</v>
      </c>
      <c r="F12" s="66">
        <v>44.01</v>
      </c>
      <c r="G12" s="67">
        <f t="shared" si="1"/>
        <v>1.643551368562945</v>
      </c>
      <c r="H12" s="35"/>
      <c r="I12" s="68"/>
      <c r="J12" s="33"/>
      <c r="K12" s="68"/>
      <c r="L12" s="68"/>
      <c r="M12" s="68"/>
    </row>
    <row r="13" spans="1:13" ht="16.5" thickBot="1" x14ac:dyDescent="0.3">
      <c r="A13" s="44"/>
      <c r="B13" s="57" t="s">
        <v>11</v>
      </c>
      <c r="C13" s="63">
        <v>2.2210000000000001</v>
      </c>
      <c r="D13" s="64">
        <v>-4</v>
      </c>
      <c r="E13" s="65">
        <f t="shared" si="0"/>
        <v>-3.6534514414515256</v>
      </c>
      <c r="F13" s="66">
        <v>44.097000000000001</v>
      </c>
      <c r="G13" s="67">
        <f t="shared" si="1"/>
        <v>1.6444090446205939</v>
      </c>
      <c r="H13" s="35"/>
      <c r="I13" s="68"/>
      <c r="J13" s="33"/>
      <c r="K13" s="68"/>
      <c r="L13" s="68"/>
      <c r="M13" s="68"/>
    </row>
    <row r="14" spans="1:13" ht="16.5" thickBot="1" x14ac:dyDescent="0.3">
      <c r="A14" s="44"/>
      <c r="B14" s="57" t="s">
        <v>73</v>
      </c>
      <c r="C14" s="63"/>
      <c r="D14" s="64">
        <v>1</v>
      </c>
      <c r="E14" s="65" t="e">
        <f t="shared" si="0"/>
        <v>#N/A</v>
      </c>
      <c r="F14" s="66">
        <v>58.122999999999998</v>
      </c>
      <c r="G14" s="67">
        <f t="shared" si="1"/>
        <v>1.7643480221748684</v>
      </c>
      <c r="H14" s="35"/>
      <c r="I14" s="68"/>
      <c r="J14" s="33"/>
      <c r="K14" s="68"/>
      <c r="L14" s="68"/>
      <c r="M14" s="68"/>
    </row>
    <row r="15" spans="1:13" ht="16.5" thickBot="1" x14ac:dyDescent="0.3">
      <c r="A15" s="44"/>
      <c r="B15" s="57" t="s">
        <v>74</v>
      </c>
      <c r="C15" s="63">
        <v>1.8520000000000001</v>
      </c>
      <c r="D15" s="64">
        <v>-4</v>
      </c>
      <c r="E15" s="65">
        <f t="shared" si="0"/>
        <v>-3.7323590176540842</v>
      </c>
      <c r="F15" s="66">
        <v>58.122999999999998</v>
      </c>
      <c r="G15" s="67">
        <f t="shared" si="1"/>
        <v>1.7643480221748684</v>
      </c>
      <c r="H15" s="35"/>
      <c r="I15" s="68"/>
      <c r="J15" s="33"/>
      <c r="K15" s="68"/>
      <c r="L15" s="68"/>
      <c r="M15" s="68"/>
    </row>
    <row r="16" spans="1:13" ht="16.5" thickBot="1" x14ac:dyDescent="0.3">
      <c r="A16" s="44"/>
      <c r="B16" s="57" t="s">
        <v>75</v>
      </c>
      <c r="C16" s="63"/>
      <c r="D16" s="64">
        <v>1</v>
      </c>
      <c r="E16" s="65" t="e">
        <f t="shared" si="0"/>
        <v>#N/A</v>
      </c>
      <c r="F16" s="66">
        <v>72.150000000000006</v>
      </c>
      <c r="G16" s="67">
        <f t="shared" si="1"/>
        <v>1.8582363354295128</v>
      </c>
      <c r="H16" s="35"/>
      <c r="I16" s="68"/>
      <c r="J16" s="33"/>
      <c r="K16" s="68"/>
      <c r="L16" s="68"/>
      <c r="M16" s="68"/>
    </row>
    <row r="17" spans="1:13" ht="16.5" thickBot="1" x14ac:dyDescent="0.3">
      <c r="A17" s="44"/>
      <c r="B17" s="57" t="s">
        <v>15</v>
      </c>
      <c r="C17" s="63">
        <v>1.6220000000000001</v>
      </c>
      <c r="D17" s="64">
        <v>-4</v>
      </c>
      <c r="E17" s="65">
        <f t="shared" si="0"/>
        <v>-3.7899491501248623</v>
      </c>
      <c r="F17" s="66">
        <v>72.150000000000006</v>
      </c>
      <c r="G17" s="67">
        <f t="shared" si="1"/>
        <v>1.8582363354295128</v>
      </c>
      <c r="H17" s="35"/>
      <c r="I17" s="68"/>
      <c r="J17" s="33"/>
      <c r="K17" s="68"/>
      <c r="L17" s="68"/>
      <c r="M17" s="68"/>
    </row>
    <row r="18" spans="1:13" ht="16.5" thickBot="1" x14ac:dyDescent="0.3">
      <c r="A18" s="44"/>
      <c r="B18" s="57" t="s">
        <v>76</v>
      </c>
      <c r="C18" s="63"/>
      <c r="D18" s="64">
        <v>1</v>
      </c>
      <c r="E18" s="65" t="e">
        <f t="shared" si="0"/>
        <v>#N/A</v>
      </c>
      <c r="F18" s="66">
        <v>86.177000000000007</v>
      </c>
      <c r="G18" s="67">
        <f t="shared" si="1"/>
        <v>1.9353913713243669</v>
      </c>
      <c r="H18" s="35"/>
      <c r="I18" s="68"/>
      <c r="J18" s="33"/>
      <c r="K18" s="68"/>
      <c r="L18" s="68"/>
      <c r="M18" s="68"/>
    </row>
    <row r="19" spans="1:13" ht="16.5" thickBot="1" x14ac:dyDescent="0.3">
      <c r="A19" s="44"/>
      <c r="B19" s="57" t="s">
        <v>77</v>
      </c>
      <c r="C19" s="63"/>
      <c r="D19" s="64">
        <v>1</v>
      </c>
      <c r="E19" s="65" t="e">
        <f t="shared" si="0"/>
        <v>#N/A</v>
      </c>
      <c r="F19" s="66">
        <v>100.20399999999999</v>
      </c>
      <c r="G19" s="67">
        <f t="shared" si="1"/>
        <v>2.000885058290252</v>
      </c>
      <c r="H19" s="35"/>
      <c r="I19" s="68"/>
      <c r="J19" s="33"/>
      <c r="K19" s="68"/>
      <c r="L19" s="68"/>
      <c r="M19" s="68"/>
    </row>
    <row r="20" spans="1:13" ht="16.5" thickBot="1" x14ac:dyDescent="0.3">
      <c r="A20" s="44"/>
      <c r="B20" s="57" t="s">
        <v>78</v>
      </c>
      <c r="C20" s="63"/>
      <c r="D20" s="64">
        <v>1</v>
      </c>
      <c r="E20" s="65" t="e">
        <f t="shared" si="0"/>
        <v>#N/A</v>
      </c>
      <c r="F20" s="66">
        <v>114.23099999999999</v>
      </c>
      <c r="G20" s="67">
        <f t="shared" si="1"/>
        <v>2.0577839787080978</v>
      </c>
      <c r="H20" s="35"/>
      <c r="I20" s="68"/>
      <c r="J20" s="33"/>
      <c r="K20" s="68"/>
      <c r="L20" s="68"/>
      <c r="M20" s="68"/>
    </row>
    <row r="21" spans="1:13" ht="16.5" thickBot="1" x14ac:dyDescent="0.3">
      <c r="A21" s="44"/>
      <c r="B21" s="57" t="s">
        <v>79</v>
      </c>
      <c r="C21" s="63"/>
      <c r="D21" s="64">
        <v>1</v>
      </c>
      <c r="E21" s="65" t="e">
        <f t="shared" si="0"/>
        <v>#N/A</v>
      </c>
      <c r="F21" s="66">
        <v>128.25800000000001</v>
      </c>
      <c r="G21" s="67">
        <f t="shared" si="1"/>
        <v>2.108084463432959</v>
      </c>
      <c r="H21" s="35"/>
      <c r="I21" s="68"/>
      <c r="J21" s="33"/>
      <c r="K21" s="68"/>
      <c r="L21" s="68"/>
      <c r="M21" s="68"/>
    </row>
    <row r="22" spans="1:13" ht="16.5" thickBot="1" x14ac:dyDescent="0.3">
      <c r="A22" s="44"/>
      <c r="B22" s="57" t="s">
        <v>80</v>
      </c>
      <c r="C22" s="69"/>
      <c r="D22" s="70">
        <v>1</v>
      </c>
      <c r="E22" s="71" t="e">
        <f t="shared" si="0"/>
        <v>#N/A</v>
      </c>
      <c r="F22" s="72">
        <v>142.285</v>
      </c>
      <c r="G22" s="73">
        <f t="shared" si="1"/>
        <v>2.153159118210787</v>
      </c>
      <c r="H22" s="35"/>
      <c r="I22" s="68"/>
      <c r="J22" s="33"/>
      <c r="K22" s="68"/>
      <c r="L22" s="68"/>
      <c r="M22" s="68"/>
    </row>
    <row r="23" spans="1:13" ht="15.75" x14ac:dyDescent="0.25">
      <c r="A23" s="44"/>
      <c r="B23" s="42"/>
      <c r="C23" s="44"/>
      <c r="D23" s="45"/>
      <c r="E23" s="46"/>
      <c r="F23" s="35"/>
      <c r="G23" s="42"/>
      <c r="H23" s="42"/>
      <c r="I23" s="42"/>
      <c r="J23" s="42"/>
      <c r="K23" s="42"/>
      <c r="L23" s="47"/>
    </row>
    <row r="24" spans="1:13" ht="15.75" x14ac:dyDescent="0.25">
      <c r="A24" s="44"/>
      <c r="B24" s="42"/>
      <c r="C24" s="44"/>
      <c r="D24" s="45"/>
      <c r="E24" s="46"/>
      <c r="F24" s="35"/>
      <c r="G24" s="42"/>
      <c r="H24" s="42"/>
      <c r="I24" s="42"/>
      <c r="J24" s="42"/>
      <c r="K24" s="42"/>
      <c r="L24" s="47"/>
    </row>
  </sheetData>
  <mergeCells count="4">
    <mergeCell ref="B2:M2"/>
    <mergeCell ref="B3:M3"/>
    <mergeCell ref="B4:M4"/>
    <mergeCell ref="H5:M5"/>
  </mergeCells>
  <pageMargins left="0.7" right="0.7" top="0.75" bottom="0.75" header="0.3" footer="0.3"/>
  <pageSetup paperSize="0" orientation="portrait" horizontalDpi="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6"/>
  <sheetViews>
    <sheetView workbookViewId="0">
      <selection activeCell="B7" sqref="B7"/>
    </sheetView>
  </sheetViews>
  <sheetFormatPr defaultRowHeight="15" x14ac:dyDescent="0.25"/>
  <cols>
    <col min="1" max="1" width="13.7109375" customWidth="1"/>
    <col min="3" max="3" width="3" customWidth="1"/>
    <col min="4" max="4" width="12" customWidth="1"/>
    <col min="7" max="7" width="2.5703125" customWidth="1"/>
  </cols>
  <sheetData>
    <row r="1" spans="1:10" ht="15.75" x14ac:dyDescent="0.25">
      <c r="A1" s="3" t="s">
        <v>38</v>
      </c>
    </row>
    <row r="2" spans="1:10" x14ac:dyDescent="0.25">
      <c r="A2" t="s">
        <v>39</v>
      </c>
    </row>
    <row r="3" spans="1:10" x14ac:dyDescent="0.25">
      <c r="D3" s="2" t="s">
        <v>37</v>
      </c>
    </row>
    <row r="4" spans="1:10" x14ac:dyDescent="0.25">
      <c r="A4" s="4" t="s">
        <v>0</v>
      </c>
      <c r="B4" s="4"/>
      <c r="C4" s="4"/>
      <c r="D4" s="4" t="s">
        <v>1</v>
      </c>
      <c r="E4" s="4" t="s">
        <v>2</v>
      </c>
      <c r="F4" s="4" t="s">
        <v>3</v>
      </c>
      <c r="G4" s="4"/>
      <c r="H4" s="4" t="s">
        <v>4</v>
      </c>
      <c r="I4" s="4" t="s">
        <v>4</v>
      </c>
      <c r="J4" s="4" t="s">
        <v>4</v>
      </c>
    </row>
    <row r="5" spans="1:10" x14ac:dyDescent="0.25">
      <c r="A5" s="4" t="s">
        <v>5</v>
      </c>
      <c r="B5" s="4" t="s">
        <v>6</v>
      </c>
      <c r="C5" s="4"/>
      <c r="D5" s="4" t="s">
        <v>7</v>
      </c>
      <c r="E5" s="4" t="s">
        <v>8</v>
      </c>
      <c r="F5" s="2"/>
      <c r="G5" s="4"/>
      <c r="H5" s="4" t="s">
        <v>7</v>
      </c>
      <c r="I5" s="4" t="s">
        <v>8</v>
      </c>
      <c r="J5" s="4" t="s">
        <v>3</v>
      </c>
    </row>
    <row r="7" spans="1:10" x14ac:dyDescent="0.25">
      <c r="A7" t="s">
        <v>9</v>
      </c>
      <c r="B7" s="13">
        <v>88.18</v>
      </c>
      <c r="C7" s="1"/>
      <c r="D7" s="11">
        <v>1010</v>
      </c>
      <c r="E7" s="12">
        <v>16.0425</v>
      </c>
      <c r="F7" s="6">
        <v>1.1599999999999999E-2</v>
      </c>
      <c r="G7" s="1"/>
      <c r="H7" s="7">
        <f>B7*D7/100</f>
        <v>890.61800000000005</v>
      </c>
      <c r="I7" s="7">
        <f t="shared" ref="I7:I27" si="0">B7*E7/100</f>
        <v>14.146276500000001</v>
      </c>
      <c r="J7" s="8">
        <f t="shared" ref="J7:J27" si="1">F7*B7/100</f>
        <v>1.0228880000000001E-2</v>
      </c>
    </row>
    <row r="8" spans="1:10" x14ac:dyDescent="0.25">
      <c r="A8" t="s">
        <v>10</v>
      </c>
      <c r="B8" s="13">
        <v>4.3099999999999996</v>
      </c>
      <c r="C8" s="1"/>
      <c r="D8" s="11">
        <v>1769.7</v>
      </c>
      <c r="E8" s="12">
        <v>30.068999999999999</v>
      </c>
      <c r="F8" s="6">
        <v>2.3800000000000002E-2</v>
      </c>
      <c r="G8" s="1"/>
      <c r="H8" s="7">
        <f t="shared" ref="H8:H27" si="2">B8*D8/100</f>
        <v>76.274069999999995</v>
      </c>
      <c r="I8" s="7">
        <f t="shared" si="0"/>
        <v>1.2959738999999999</v>
      </c>
      <c r="J8" s="8">
        <f t="shared" si="1"/>
        <v>1.02578E-3</v>
      </c>
    </row>
    <row r="9" spans="1:10" x14ac:dyDescent="0.25">
      <c r="A9" t="s">
        <v>11</v>
      </c>
      <c r="B9" s="13">
        <v>0.86</v>
      </c>
      <c r="C9" s="1"/>
      <c r="D9" s="11">
        <v>2516.1</v>
      </c>
      <c r="E9" s="12">
        <v>44.095599999999997</v>
      </c>
      <c r="F9" s="6">
        <v>3.4700000000000002E-2</v>
      </c>
      <c r="G9" s="1"/>
      <c r="H9" s="7">
        <f t="shared" si="2"/>
        <v>21.638459999999998</v>
      </c>
      <c r="I9" s="7">
        <f t="shared" si="0"/>
        <v>0.37922215999999997</v>
      </c>
      <c r="J9" s="8">
        <f t="shared" si="1"/>
        <v>2.9841999999999998E-4</v>
      </c>
    </row>
    <row r="10" spans="1:10" x14ac:dyDescent="0.25">
      <c r="A10" t="s">
        <v>12</v>
      </c>
      <c r="B10" s="13">
        <v>0.22</v>
      </c>
      <c r="C10" s="1"/>
      <c r="D10" s="11">
        <v>3251.9</v>
      </c>
      <c r="E10" s="12">
        <v>58.122199999999999</v>
      </c>
      <c r="F10" s="6">
        <v>4.41E-2</v>
      </c>
      <c r="G10" s="1"/>
      <c r="H10" s="7">
        <f t="shared" si="2"/>
        <v>7.1541800000000002</v>
      </c>
      <c r="I10" s="7">
        <f t="shared" si="0"/>
        <v>0.12786884000000001</v>
      </c>
      <c r="J10" s="8">
        <f t="shared" si="1"/>
        <v>9.7020000000000003E-5</v>
      </c>
    </row>
    <row r="11" spans="1:10" x14ac:dyDescent="0.25">
      <c r="A11" t="s">
        <v>13</v>
      </c>
      <c r="B11" s="13">
        <v>0.15</v>
      </c>
      <c r="C11" s="1"/>
      <c r="D11" s="11">
        <v>3262.3</v>
      </c>
      <c r="E11" s="12">
        <v>58.122199999999999</v>
      </c>
      <c r="F11" s="6">
        <v>4.7E-2</v>
      </c>
      <c r="G11" s="1"/>
      <c r="H11" s="7">
        <f t="shared" si="2"/>
        <v>4.8934500000000005</v>
      </c>
      <c r="I11" s="7">
        <f t="shared" si="0"/>
        <v>8.7183300000000005E-2</v>
      </c>
      <c r="J11" s="8">
        <f t="shared" si="1"/>
        <v>7.0499999999999992E-5</v>
      </c>
    </row>
    <row r="12" spans="1:10" x14ac:dyDescent="0.25">
      <c r="A12" t="s">
        <v>14</v>
      </c>
      <c r="B12" s="13">
        <v>0.08</v>
      </c>
      <c r="C12" s="1"/>
      <c r="D12" s="11">
        <v>4000.9</v>
      </c>
      <c r="E12" s="12">
        <v>72.148799999999994</v>
      </c>
      <c r="F12" s="6">
        <v>5.7599999999999998E-2</v>
      </c>
      <c r="G12" s="1"/>
      <c r="H12" s="7">
        <f t="shared" si="2"/>
        <v>3.20072</v>
      </c>
      <c r="I12" s="7">
        <f t="shared" si="0"/>
        <v>5.7719039999999992E-2</v>
      </c>
      <c r="J12" s="8">
        <f t="shared" si="1"/>
        <v>4.6079999999999999E-5</v>
      </c>
    </row>
    <row r="13" spans="1:10" x14ac:dyDescent="0.25">
      <c r="A13" t="s">
        <v>15</v>
      </c>
      <c r="B13" s="13">
        <v>0.09</v>
      </c>
      <c r="C13" s="1"/>
      <c r="D13" s="11">
        <v>4008.7</v>
      </c>
      <c r="E13" s="12">
        <v>72.148799999999994</v>
      </c>
      <c r="F13" s="6">
        <v>6.0600000000000001E-2</v>
      </c>
      <c r="G13" s="1"/>
      <c r="H13" s="7">
        <f t="shared" si="2"/>
        <v>3.6078299999999994</v>
      </c>
      <c r="I13" s="7">
        <f t="shared" si="0"/>
        <v>6.4933919999999992E-2</v>
      </c>
      <c r="J13" s="8">
        <f t="shared" si="1"/>
        <v>5.4539999999999996E-5</v>
      </c>
    </row>
    <row r="14" spans="1:10" x14ac:dyDescent="0.25">
      <c r="A14" t="s">
        <v>16</v>
      </c>
      <c r="B14" s="13">
        <v>0.13</v>
      </c>
      <c r="C14" s="1"/>
      <c r="D14" s="11">
        <v>4755.8999999999996</v>
      </c>
      <c r="E14" s="12">
        <v>86.175399999999996</v>
      </c>
      <c r="F14" s="6">
        <v>7.7600000000000002E-2</v>
      </c>
      <c r="G14" s="1"/>
      <c r="H14" s="7">
        <f t="shared" si="2"/>
        <v>6.182669999999999</v>
      </c>
      <c r="I14" s="7">
        <f t="shared" si="0"/>
        <v>0.11202802000000001</v>
      </c>
      <c r="J14" s="8">
        <f t="shared" si="1"/>
        <v>1.0088000000000001E-4</v>
      </c>
    </row>
    <row r="15" spans="1:10" x14ac:dyDescent="0.25">
      <c r="A15" t="s">
        <v>17</v>
      </c>
      <c r="B15" s="13">
        <v>0</v>
      </c>
      <c r="C15" s="1"/>
      <c r="D15" s="11">
        <f>0.6*D14+0.3*D16+0.1*D17</f>
        <v>5129.2199999999993</v>
      </c>
      <c r="E15" s="12">
        <f>0.6*E14+0.3*E16+0.1*E17</f>
        <v>93.188659999999985</v>
      </c>
      <c r="F15" s="5">
        <f>0.6*F14+0.3*F16+0.1*F17</f>
        <v>8.6369999999999988E-2</v>
      </c>
      <c r="G15" s="1"/>
      <c r="H15" s="7">
        <f>B15*D15/100</f>
        <v>0</v>
      </c>
      <c r="I15" s="7">
        <f t="shared" si="0"/>
        <v>0</v>
      </c>
      <c r="J15" s="8">
        <f t="shared" si="1"/>
        <v>0</v>
      </c>
    </row>
    <row r="16" spans="1:10" x14ac:dyDescent="0.25">
      <c r="A16" t="s">
        <v>18</v>
      </c>
      <c r="B16" s="13">
        <v>0.08</v>
      </c>
      <c r="C16" s="1"/>
      <c r="D16" s="11">
        <v>5502.6</v>
      </c>
      <c r="E16" s="12">
        <v>100.20189999999999</v>
      </c>
      <c r="F16" s="6">
        <v>9.5100000000000004E-2</v>
      </c>
      <c r="G16" s="1"/>
      <c r="H16" s="7">
        <f t="shared" si="2"/>
        <v>4.4020800000000007</v>
      </c>
      <c r="I16" s="7">
        <f t="shared" si="0"/>
        <v>8.016152E-2</v>
      </c>
      <c r="J16" s="8">
        <f t="shared" si="1"/>
        <v>7.6080000000000003E-5</v>
      </c>
    </row>
    <row r="17" spans="1:10" x14ac:dyDescent="0.25">
      <c r="A17" t="s">
        <v>19</v>
      </c>
      <c r="B17" s="13">
        <v>0.04</v>
      </c>
      <c r="C17" s="1"/>
      <c r="D17" s="11">
        <v>6249</v>
      </c>
      <c r="E17" s="12">
        <v>114.2285</v>
      </c>
      <c r="F17" s="6">
        <v>0.1128</v>
      </c>
      <c r="G17" s="1"/>
      <c r="H17" s="7">
        <f t="shared" si="2"/>
        <v>2.4996</v>
      </c>
      <c r="I17" s="7">
        <f t="shared" si="0"/>
        <v>4.56914E-2</v>
      </c>
      <c r="J17" s="8">
        <f t="shared" si="1"/>
        <v>4.5120000000000002E-5</v>
      </c>
    </row>
    <row r="18" spans="1:10" x14ac:dyDescent="0.25">
      <c r="A18" t="s">
        <v>20</v>
      </c>
      <c r="B18" s="13">
        <v>0.01</v>
      </c>
      <c r="C18" s="1"/>
      <c r="D18" s="11">
        <v>6996.3</v>
      </c>
      <c r="E18" s="12">
        <v>128.2551</v>
      </c>
      <c r="F18" s="6">
        <v>0.13070000000000001</v>
      </c>
      <c r="G18" s="1"/>
      <c r="H18" s="7">
        <f t="shared" si="2"/>
        <v>0.69963000000000009</v>
      </c>
      <c r="I18" s="7">
        <f t="shared" si="0"/>
        <v>1.282551E-2</v>
      </c>
      <c r="J18" s="8">
        <f t="shared" si="1"/>
        <v>1.3070000000000002E-5</v>
      </c>
    </row>
    <row r="19" spans="1:10" x14ac:dyDescent="0.25">
      <c r="A19" t="s">
        <v>21</v>
      </c>
      <c r="B19" s="13">
        <v>0</v>
      </c>
      <c r="C19" s="1"/>
      <c r="D19" s="11">
        <v>7742.9</v>
      </c>
      <c r="E19" s="12">
        <v>142.2817</v>
      </c>
      <c r="F19" s="6">
        <v>0.15559999999999999</v>
      </c>
      <c r="G19" s="1"/>
      <c r="H19" s="7">
        <f t="shared" si="2"/>
        <v>0</v>
      </c>
      <c r="I19" s="7">
        <f t="shared" si="0"/>
        <v>0</v>
      </c>
      <c r="J19" s="8">
        <f t="shared" si="1"/>
        <v>0</v>
      </c>
    </row>
    <row r="20" spans="1:10" x14ac:dyDescent="0.25">
      <c r="A20" t="s">
        <v>22</v>
      </c>
      <c r="B20" s="13">
        <v>0</v>
      </c>
      <c r="C20" s="1"/>
      <c r="D20" s="11">
        <v>1599.7</v>
      </c>
      <c r="E20" s="12">
        <v>28.0532</v>
      </c>
      <c r="F20" s="5">
        <v>2.07E-2</v>
      </c>
      <c r="G20" s="1"/>
      <c r="H20" s="7">
        <f t="shared" si="2"/>
        <v>0</v>
      </c>
      <c r="I20" s="7">
        <f t="shared" si="0"/>
        <v>0</v>
      </c>
      <c r="J20" s="8">
        <f t="shared" si="1"/>
        <v>0</v>
      </c>
    </row>
    <row r="21" spans="1:10" x14ac:dyDescent="0.25">
      <c r="A21" t="s">
        <v>23</v>
      </c>
      <c r="B21" s="13">
        <v>0</v>
      </c>
      <c r="C21" s="1"/>
      <c r="D21" s="11">
        <v>2333</v>
      </c>
      <c r="E21" s="12">
        <v>42.079700000000003</v>
      </c>
      <c r="F21" s="5">
        <v>3.27E-2</v>
      </c>
      <c r="G21" s="1"/>
      <c r="H21" s="7">
        <f t="shared" si="2"/>
        <v>0</v>
      </c>
      <c r="I21" s="7">
        <f t="shared" si="0"/>
        <v>0</v>
      </c>
      <c r="J21" s="8">
        <f t="shared" si="1"/>
        <v>0</v>
      </c>
    </row>
    <row r="22" spans="1:10" x14ac:dyDescent="0.25">
      <c r="A22" t="s">
        <v>24</v>
      </c>
      <c r="B22" s="13">
        <v>5.67</v>
      </c>
      <c r="C22" s="1"/>
      <c r="D22" s="11">
        <v>0</v>
      </c>
      <c r="E22" s="12">
        <v>44.009500000000003</v>
      </c>
      <c r="F22" s="6">
        <v>1.95E-2</v>
      </c>
      <c r="G22" s="1"/>
      <c r="H22" s="7">
        <f>B22*D22/100</f>
        <v>0</v>
      </c>
      <c r="I22" s="7">
        <f t="shared" si="0"/>
        <v>2.4953386500000003</v>
      </c>
      <c r="J22" s="8">
        <f t="shared" si="1"/>
        <v>1.1056499999999999E-3</v>
      </c>
    </row>
    <row r="23" spans="1:10" x14ac:dyDescent="0.25">
      <c r="A23" t="s">
        <v>25</v>
      </c>
      <c r="B23" s="13">
        <v>0</v>
      </c>
      <c r="D23" s="11">
        <v>637.1</v>
      </c>
      <c r="E23" s="12">
        <v>34.0809</v>
      </c>
      <c r="F23" s="5">
        <v>2.3900000000000001E-2</v>
      </c>
      <c r="H23" s="7">
        <f>B23*D23/100</f>
        <v>0</v>
      </c>
      <c r="I23" s="7">
        <f t="shared" si="0"/>
        <v>0</v>
      </c>
      <c r="J23" s="8">
        <f t="shared" si="1"/>
        <v>0</v>
      </c>
    </row>
    <row r="24" spans="1:10" x14ac:dyDescent="0.25">
      <c r="A24" t="s">
        <v>26</v>
      </c>
      <c r="B24" s="13">
        <v>0.17</v>
      </c>
      <c r="C24" s="1"/>
      <c r="D24" s="11">
        <v>0</v>
      </c>
      <c r="E24" s="12">
        <v>28.013400000000001</v>
      </c>
      <c r="F24" s="6">
        <v>4.4200000000000003E-3</v>
      </c>
      <c r="G24" s="1"/>
      <c r="H24" s="7">
        <f t="shared" si="2"/>
        <v>0</v>
      </c>
      <c r="I24" s="7">
        <f t="shared" si="0"/>
        <v>4.7622780000000003E-2</v>
      </c>
      <c r="J24" s="8">
        <f t="shared" si="1"/>
        <v>7.5140000000000012E-6</v>
      </c>
    </row>
    <row r="25" spans="1:10" x14ac:dyDescent="0.25">
      <c r="A25" t="s">
        <v>27</v>
      </c>
      <c r="B25" s="13">
        <v>0</v>
      </c>
      <c r="C25" s="1"/>
      <c r="D25" s="11">
        <v>0</v>
      </c>
      <c r="E25" s="12">
        <v>31.998799999999999</v>
      </c>
      <c r="F25" s="5">
        <v>7.1999999999999998E-3</v>
      </c>
      <c r="G25" s="1"/>
      <c r="H25" s="7">
        <f t="shared" si="2"/>
        <v>0</v>
      </c>
      <c r="I25" s="7">
        <f t="shared" si="0"/>
        <v>0</v>
      </c>
      <c r="J25" s="8">
        <f t="shared" si="1"/>
        <v>0</v>
      </c>
    </row>
    <row r="26" spans="1:10" x14ac:dyDescent="0.25">
      <c r="A26" t="s">
        <v>28</v>
      </c>
      <c r="B26" s="13">
        <v>0</v>
      </c>
      <c r="C26" s="1"/>
      <c r="D26" s="11">
        <v>0</v>
      </c>
      <c r="E26" s="12">
        <v>4.0026000000000002</v>
      </c>
      <c r="F26" s="5">
        <v>0</v>
      </c>
      <c r="G26" s="1"/>
      <c r="H26" s="7">
        <f t="shared" si="2"/>
        <v>0</v>
      </c>
      <c r="I26" s="7">
        <f t="shared" si="0"/>
        <v>0</v>
      </c>
      <c r="J26" s="8">
        <f t="shared" si="1"/>
        <v>0</v>
      </c>
    </row>
    <row r="27" spans="1:10" x14ac:dyDescent="0.25">
      <c r="A27" t="s">
        <v>29</v>
      </c>
      <c r="B27" s="13">
        <v>0</v>
      </c>
      <c r="C27" s="1"/>
      <c r="D27" s="11">
        <v>50.31</v>
      </c>
      <c r="E27" s="12">
        <v>18.0153</v>
      </c>
      <c r="F27" s="5">
        <v>6.5100000000000005E-2</v>
      </c>
      <c r="G27" s="1"/>
      <c r="H27" s="7">
        <f t="shared" si="2"/>
        <v>0</v>
      </c>
      <c r="I27" s="7">
        <f t="shared" si="0"/>
        <v>0</v>
      </c>
      <c r="J27" s="8">
        <f t="shared" si="1"/>
        <v>0</v>
      </c>
    </row>
    <row r="28" spans="1:10" x14ac:dyDescent="0.25">
      <c r="B28" s="1"/>
      <c r="C28" s="1"/>
      <c r="D28" s="1"/>
      <c r="E28" s="1"/>
      <c r="F28" s="1"/>
      <c r="G28" s="1"/>
      <c r="H28" s="1"/>
      <c r="I28" s="1"/>
    </row>
    <row r="29" spans="1:10" x14ac:dyDescent="0.25">
      <c r="A29" t="s">
        <v>30</v>
      </c>
      <c r="B29" s="9">
        <f>SUM(B7:B28)</f>
        <v>99.990000000000023</v>
      </c>
      <c r="C29" s="1"/>
      <c r="D29" s="1"/>
      <c r="E29" s="1"/>
      <c r="F29" s="1"/>
      <c r="G29" s="1"/>
      <c r="H29">
        <f t="shared" ref="H29:I29" si="3">SUM(H7:H28)</f>
        <v>1021.1706900000001</v>
      </c>
      <c r="I29">
        <f t="shared" si="3"/>
        <v>18.952845540000002</v>
      </c>
      <c r="J29">
        <f>SUM(J7:J28)</f>
        <v>1.3169534E-2</v>
      </c>
    </row>
    <row r="31" spans="1:10" x14ac:dyDescent="0.25">
      <c r="A31" t="s">
        <v>31</v>
      </c>
      <c r="D31" s="9">
        <f>H29</f>
        <v>1021.1706900000001</v>
      </c>
      <c r="J31" s="1"/>
    </row>
    <row r="32" spans="1:10" x14ac:dyDescent="0.25">
      <c r="A32" t="s">
        <v>32</v>
      </c>
      <c r="D32" s="9">
        <f>$I$29/28.9625</f>
        <v>0.65439259525248172</v>
      </c>
    </row>
    <row r="33" spans="1:4" x14ac:dyDescent="0.25">
      <c r="A33" t="s">
        <v>33</v>
      </c>
      <c r="D33" s="9">
        <f>1-$J$29^2*14.73</f>
        <v>0.99744527850230247</v>
      </c>
    </row>
    <row r="34" spans="1:4" x14ac:dyDescent="0.25">
      <c r="A34" t="s">
        <v>34</v>
      </c>
      <c r="D34" s="9">
        <v>0.99958999999999998</v>
      </c>
    </row>
    <row r="35" spans="1:4" x14ac:dyDescent="0.25">
      <c r="A35" s="2" t="s">
        <v>35</v>
      </c>
      <c r="B35" s="2"/>
      <c r="D35" s="10">
        <f>$D$31*14.73/($D$33*14.696)</f>
        <v>1026.1547638935854</v>
      </c>
    </row>
    <row r="36" spans="1:4" x14ac:dyDescent="0.25">
      <c r="A36" s="2" t="s">
        <v>36</v>
      </c>
      <c r="B36" s="2"/>
      <c r="D36" s="10">
        <f>$D$32*$D$34/$D$33</f>
        <v>0.65579967982866971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6"/>
  <sheetViews>
    <sheetView workbookViewId="0">
      <selection sqref="A1:K1048576"/>
    </sheetView>
  </sheetViews>
  <sheetFormatPr defaultRowHeight="15" x14ac:dyDescent="0.25"/>
  <cols>
    <col min="1" max="1" width="13.7109375" customWidth="1"/>
    <col min="3" max="3" width="3" customWidth="1"/>
    <col min="4" max="4" width="12" customWidth="1"/>
    <col min="7" max="7" width="2.5703125" customWidth="1"/>
  </cols>
  <sheetData>
    <row r="1" spans="1:10" ht="15.75" x14ac:dyDescent="0.25">
      <c r="A1" s="3" t="s">
        <v>38</v>
      </c>
    </row>
    <row r="2" spans="1:10" x14ac:dyDescent="0.25">
      <c r="A2" t="s">
        <v>39</v>
      </c>
    </row>
    <row r="3" spans="1:10" x14ac:dyDescent="0.25">
      <c r="D3" s="2" t="s">
        <v>37</v>
      </c>
    </row>
    <row r="4" spans="1:10" x14ac:dyDescent="0.25">
      <c r="A4" s="4" t="s">
        <v>0</v>
      </c>
      <c r="B4" s="4"/>
      <c r="C4" s="4"/>
      <c r="D4" s="4" t="s">
        <v>1</v>
      </c>
      <c r="E4" s="4" t="s">
        <v>2</v>
      </c>
      <c r="F4" s="4" t="s">
        <v>3</v>
      </c>
      <c r="G4" s="4"/>
      <c r="H4" s="4" t="s">
        <v>4</v>
      </c>
      <c r="I4" s="4" t="s">
        <v>4</v>
      </c>
      <c r="J4" s="4" t="s">
        <v>4</v>
      </c>
    </row>
    <row r="5" spans="1:10" x14ac:dyDescent="0.25">
      <c r="A5" s="4" t="s">
        <v>5</v>
      </c>
      <c r="B5" s="4" t="s">
        <v>6</v>
      </c>
      <c r="C5" s="4"/>
      <c r="D5" s="4" t="s">
        <v>7</v>
      </c>
      <c r="E5" s="4" t="s">
        <v>8</v>
      </c>
      <c r="F5" s="2"/>
      <c r="G5" s="4"/>
      <c r="H5" s="4" t="s">
        <v>7</v>
      </c>
      <c r="I5" s="4" t="s">
        <v>8</v>
      </c>
      <c r="J5" s="4" t="s">
        <v>3</v>
      </c>
    </row>
    <row r="7" spans="1:10" x14ac:dyDescent="0.25">
      <c r="A7" t="s">
        <v>9</v>
      </c>
      <c r="B7" s="13">
        <v>55.417000000000002</v>
      </c>
      <c r="C7" s="1"/>
      <c r="D7" s="11">
        <v>1010</v>
      </c>
      <c r="E7" s="12">
        <v>16.0425</v>
      </c>
      <c r="F7" s="6">
        <v>1.1599999999999999E-2</v>
      </c>
      <c r="G7" s="1"/>
      <c r="H7" s="7">
        <f>B7*D7/100</f>
        <v>559.71169999999995</v>
      </c>
      <c r="I7" s="7">
        <f t="shared" ref="I7:I27" si="0">B7*E7/100</f>
        <v>8.8902722250000004</v>
      </c>
      <c r="J7" s="8">
        <f t="shared" ref="J7:J27" si="1">F7*B7/100</f>
        <v>6.4283719999999999E-3</v>
      </c>
    </row>
    <row r="8" spans="1:10" x14ac:dyDescent="0.25">
      <c r="A8" t="s">
        <v>10</v>
      </c>
      <c r="B8" s="13">
        <v>18.908000000000001</v>
      </c>
      <c r="C8" s="1"/>
      <c r="D8" s="11">
        <v>1769.7</v>
      </c>
      <c r="E8" s="12">
        <v>30.068999999999999</v>
      </c>
      <c r="F8" s="6">
        <v>2.3800000000000002E-2</v>
      </c>
      <c r="G8" s="1"/>
      <c r="H8" s="7">
        <f t="shared" ref="H8:H27" si="2">B8*D8/100</f>
        <v>334.61487599999998</v>
      </c>
      <c r="I8" s="7">
        <f t="shared" si="0"/>
        <v>5.6854465200000002</v>
      </c>
      <c r="J8" s="8">
        <f t="shared" si="1"/>
        <v>4.5001040000000013E-3</v>
      </c>
    </row>
    <row r="9" spans="1:10" x14ac:dyDescent="0.25">
      <c r="A9" t="s">
        <v>11</v>
      </c>
      <c r="B9" s="13">
        <v>13.579000000000001</v>
      </c>
      <c r="C9" s="1"/>
      <c r="D9" s="11">
        <v>2516.1</v>
      </c>
      <c r="E9" s="12">
        <v>44.095599999999997</v>
      </c>
      <c r="F9" s="6">
        <v>3.4700000000000002E-2</v>
      </c>
      <c r="G9" s="1"/>
      <c r="H9" s="7">
        <f t="shared" si="2"/>
        <v>341.66121899999996</v>
      </c>
      <c r="I9" s="7">
        <f t="shared" si="0"/>
        <v>5.9877415240000005</v>
      </c>
      <c r="J9" s="8">
        <f t="shared" si="1"/>
        <v>4.7119130000000007E-3</v>
      </c>
    </row>
    <row r="10" spans="1:10" x14ac:dyDescent="0.25">
      <c r="A10" t="s">
        <v>12</v>
      </c>
      <c r="B10" s="13">
        <v>1.7749999999999999</v>
      </c>
      <c r="C10" s="1"/>
      <c r="D10" s="11">
        <v>3251.9</v>
      </c>
      <c r="E10" s="12">
        <v>58.122199999999999</v>
      </c>
      <c r="F10" s="6">
        <v>4.41E-2</v>
      </c>
      <c r="G10" s="1"/>
      <c r="H10" s="7">
        <f t="shared" si="2"/>
        <v>57.721224999999997</v>
      </c>
      <c r="I10" s="7">
        <f t="shared" si="0"/>
        <v>1.0316690500000001</v>
      </c>
      <c r="J10" s="8">
        <f t="shared" si="1"/>
        <v>7.8277499999999999E-4</v>
      </c>
    </row>
    <row r="11" spans="1:10" x14ac:dyDescent="0.25">
      <c r="A11" t="s">
        <v>13</v>
      </c>
      <c r="B11" s="13">
        <v>4.734</v>
      </c>
      <c r="C11" s="1"/>
      <c r="D11" s="11">
        <v>3262.3</v>
      </c>
      <c r="E11" s="12">
        <v>58.122199999999999</v>
      </c>
      <c r="F11" s="6">
        <v>4.7E-2</v>
      </c>
      <c r="G11" s="1"/>
      <c r="H11" s="7">
        <f t="shared" si="2"/>
        <v>154.43728200000001</v>
      </c>
      <c r="I11" s="7">
        <f t="shared" si="0"/>
        <v>2.751504948</v>
      </c>
      <c r="J11" s="8">
        <f t="shared" si="1"/>
        <v>2.2249800000000001E-3</v>
      </c>
    </row>
    <row r="12" spans="1:10" x14ac:dyDescent="0.25">
      <c r="A12" t="s">
        <v>14</v>
      </c>
      <c r="B12" s="13">
        <v>1.1379999999999999</v>
      </c>
      <c r="C12" s="1"/>
      <c r="D12" s="11">
        <v>4000.9</v>
      </c>
      <c r="E12" s="12">
        <v>72.148799999999994</v>
      </c>
      <c r="F12" s="6">
        <v>5.7599999999999998E-2</v>
      </c>
      <c r="G12" s="1"/>
      <c r="H12" s="7">
        <f t="shared" si="2"/>
        <v>45.530242000000001</v>
      </c>
      <c r="I12" s="7">
        <f t="shared" si="0"/>
        <v>0.82105334399999985</v>
      </c>
      <c r="J12" s="8">
        <f t="shared" si="1"/>
        <v>6.5548799999999986E-4</v>
      </c>
    </row>
    <row r="13" spans="1:10" x14ac:dyDescent="0.25">
      <c r="A13" t="s">
        <v>15</v>
      </c>
      <c r="B13" s="13">
        <v>0.92800000000000005</v>
      </c>
      <c r="C13" s="1"/>
      <c r="D13" s="11">
        <v>4008.7</v>
      </c>
      <c r="E13" s="12">
        <v>72.148799999999994</v>
      </c>
      <c r="F13" s="6">
        <v>6.0600000000000001E-2</v>
      </c>
      <c r="G13" s="1"/>
      <c r="H13" s="7">
        <f t="shared" si="2"/>
        <v>37.200735999999999</v>
      </c>
      <c r="I13" s="7">
        <f t="shared" si="0"/>
        <v>0.6695408639999999</v>
      </c>
      <c r="J13" s="8">
        <f t="shared" si="1"/>
        <v>5.6236800000000005E-4</v>
      </c>
    </row>
    <row r="14" spans="1:10" x14ac:dyDescent="0.25">
      <c r="A14" t="s">
        <v>16</v>
      </c>
      <c r="B14" s="13">
        <v>0</v>
      </c>
      <c r="C14" s="1"/>
      <c r="D14" s="11">
        <v>4755.8999999999996</v>
      </c>
      <c r="E14" s="12">
        <v>86.175399999999996</v>
      </c>
      <c r="F14" s="6">
        <v>7.7600000000000002E-2</v>
      </c>
      <c r="G14" s="1"/>
      <c r="H14" s="7">
        <f t="shared" si="2"/>
        <v>0</v>
      </c>
      <c r="I14" s="7">
        <f t="shared" si="0"/>
        <v>0</v>
      </c>
      <c r="J14" s="8">
        <f t="shared" si="1"/>
        <v>0</v>
      </c>
    </row>
    <row r="15" spans="1:10" x14ac:dyDescent="0.25">
      <c r="A15" t="s">
        <v>17</v>
      </c>
      <c r="B15" s="13">
        <v>0.57599999999999996</v>
      </c>
      <c r="C15" s="1"/>
      <c r="D15" s="11">
        <f>0.6*D14+0.3*D16+0.1*D17</f>
        <v>5129.2199999999993</v>
      </c>
      <c r="E15" s="12">
        <f>0.6*E14+0.3*E16+0.1*E17</f>
        <v>93.188659999999985</v>
      </c>
      <c r="F15" s="5">
        <f>0.6*F14+0.3*F16+0.1*F17</f>
        <v>8.6369999999999988E-2</v>
      </c>
      <c r="G15" s="1"/>
      <c r="H15" s="7">
        <f>B15*D15/100</f>
        <v>29.544307199999995</v>
      </c>
      <c r="I15" s="7">
        <f t="shared" si="0"/>
        <v>0.53676668159999985</v>
      </c>
      <c r="J15" s="8">
        <f t="shared" si="1"/>
        <v>4.9749119999999982E-4</v>
      </c>
    </row>
    <row r="16" spans="1:10" x14ac:dyDescent="0.25">
      <c r="A16" t="s">
        <v>18</v>
      </c>
      <c r="B16" s="13">
        <v>0</v>
      </c>
      <c r="C16" s="1"/>
      <c r="D16" s="11">
        <v>5502.6</v>
      </c>
      <c r="E16" s="12">
        <v>100.20189999999999</v>
      </c>
      <c r="F16" s="6">
        <v>9.5100000000000004E-2</v>
      </c>
      <c r="G16" s="1"/>
      <c r="H16" s="7">
        <f t="shared" si="2"/>
        <v>0</v>
      </c>
      <c r="I16" s="7">
        <f t="shared" si="0"/>
        <v>0</v>
      </c>
      <c r="J16" s="8">
        <f t="shared" si="1"/>
        <v>0</v>
      </c>
    </row>
    <row r="17" spans="1:10" x14ac:dyDescent="0.25">
      <c r="A17" t="s">
        <v>19</v>
      </c>
      <c r="B17" s="13">
        <v>0</v>
      </c>
      <c r="C17" s="1"/>
      <c r="D17" s="11">
        <v>6249</v>
      </c>
      <c r="E17" s="12">
        <v>114.2285</v>
      </c>
      <c r="F17" s="6">
        <v>0.1128</v>
      </c>
      <c r="G17" s="1"/>
      <c r="H17" s="7">
        <f t="shared" si="2"/>
        <v>0</v>
      </c>
      <c r="I17" s="7">
        <f t="shared" si="0"/>
        <v>0</v>
      </c>
      <c r="J17" s="8">
        <f t="shared" si="1"/>
        <v>0</v>
      </c>
    </row>
    <row r="18" spans="1:10" x14ac:dyDescent="0.25">
      <c r="A18" t="s">
        <v>20</v>
      </c>
      <c r="B18" s="13">
        <v>0</v>
      </c>
      <c r="C18" s="1"/>
      <c r="D18" s="11">
        <v>6996.3</v>
      </c>
      <c r="E18" s="12">
        <v>128.2551</v>
      </c>
      <c r="F18" s="6">
        <v>0.13070000000000001</v>
      </c>
      <c r="G18" s="1"/>
      <c r="H18" s="7">
        <f t="shared" si="2"/>
        <v>0</v>
      </c>
      <c r="I18" s="7">
        <f t="shared" si="0"/>
        <v>0</v>
      </c>
      <c r="J18" s="8">
        <f t="shared" si="1"/>
        <v>0</v>
      </c>
    </row>
    <row r="19" spans="1:10" x14ac:dyDescent="0.25">
      <c r="A19" t="s">
        <v>21</v>
      </c>
      <c r="B19" s="13">
        <v>0</v>
      </c>
      <c r="C19" s="1"/>
      <c r="D19" s="11">
        <v>7742.9</v>
      </c>
      <c r="E19" s="12">
        <v>142.2817</v>
      </c>
      <c r="F19" s="6">
        <v>0.15559999999999999</v>
      </c>
      <c r="G19" s="1"/>
      <c r="H19" s="7">
        <f t="shared" si="2"/>
        <v>0</v>
      </c>
      <c r="I19" s="7">
        <f t="shared" si="0"/>
        <v>0</v>
      </c>
      <c r="J19" s="8">
        <f t="shared" si="1"/>
        <v>0</v>
      </c>
    </row>
    <row r="20" spans="1:10" x14ac:dyDescent="0.25">
      <c r="A20" t="s">
        <v>22</v>
      </c>
      <c r="B20" s="13">
        <v>0</v>
      </c>
      <c r="C20" s="1"/>
      <c r="D20" s="11">
        <v>1599.7</v>
      </c>
      <c r="E20" s="12">
        <v>28.0532</v>
      </c>
      <c r="F20" s="5">
        <v>2.07E-2</v>
      </c>
      <c r="G20" s="1"/>
      <c r="H20" s="7">
        <f t="shared" si="2"/>
        <v>0</v>
      </c>
      <c r="I20" s="7">
        <f t="shared" si="0"/>
        <v>0</v>
      </c>
      <c r="J20" s="8">
        <f t="shared" si="1"/>
        <v>0</v>
      </c>
    </row>
    <row r="21" spans="1:10" x14ac:dyDescent="0.25">
      <c r="A21" t="s">
        <v>23</v>
      </c>
      <c r="B21" s="13">
        <v>0</v>
      </c>
      <c r="C21" s="1"/>
      <c r="D21" s="11">
        <v>2333</v>
      </c>
      <c r="E21" s="12">
        <v>42.079700000000003</v>
      </c>
      <c r="F21" s="5">
        <v>3.27E-2</v>
      </c>
      <c r="G21" s="1"/>
      <c r="H21" s="7">
        <f t="shared" si="2"/>
        <v>0</v>
      </c>
      <c r="I21" s="7">
        <f t="shared" si="0"/>
        <v>0</v>
      </c>
      <c r="J21" s="8">
        <f t="shared" si="1"/>
        <v>0</v>
      </c>
    </row>
    <row r="22" spans="1:10" x14ac:dyDescent="0.25">
      <c r="A22" t="s">
        <v>24</v>
      </c>
      <c r="B22" s="13">
        <v>1.0309999999999999</v>
      </c>
      <c r="C22" s="1"/>
      <c r="D22" s="11">
        <v>0</v>
      </c>
      <c r="E22" s="12">
        <v>44.009500000000003</v>
      </c>
      <c r="F22" s="6">
        <v>1.95E-2</v>
      </c>
      <c r="G22" s="1"/>
      <c r="H22" s="7">
        <f>B22*D22/100</f>
        <v>0</v>
      </c>
      <c r="I22" s="7">
        <f t="shared" si="0"/>
        <v>0.45373794500000003</v>
      </c>
      <c r="J22" s="8">
        <f t="shared" si="1"/>
        <v>2.0104499999999998E-4</v>
      </c>
    </row>
    <row r="23" spans="1:10" x14ac:dyDescent="0.25">
      <c r="A23" t="s">
        <v>25</v>
      </c>
      <c r="B23" s="13">
        <v>0</v>
      </c>
      <c r="D23" s="11">
        <v>637.1</v>
      </c>
      <c r="E23" s="12">
        <v>34.0809</v>
      </c>
      <c r="F23" s="5">
        <v>2.3900000000000001E-2</v>
      </c>
      <c r="H23" s="7">
        <f>B23*D23/100</f>
        <v>0</v>
      </c>
      <c r="I23" s="7">
        <f t="shared" si="0"/>
        <v>0</v>
      </c>
      <c r="J23" s="8">
        <f t="shared" si="1"/>
        <v>0</v>
      </c>
    </row>
    <row r="24" spans="1:10" x14ac:dyDescent="0.25">
      <c r="A24" t="s">
        <v>26</v>
      </c>
      <c r="B24" s="13">
        <v>1.913</v>
      </c>
      <c r="C24" s="1"/>
      <c r="D24" s="11">
        <v>0</v>
      </c>
      <c r="E24" s="12">
        <v>28.013400000000001</v>
      </c>
      <c r="F24" s="6">
        <v>4.4200000000000003E-3</v>
      </c>
      <c r="G24" s="1"/>
      <c r="H24" s="7">
        <f t="shared" si="2"/>
        <v>0</v>
      </c>
      <c r="I24" s="7">
        <f t="shared" si="0"/>
        <v>0.53589634200000003</v>
      </c>
      <c r="J24" s="8">
        <f t="shared" si="1"/>
        <v>8.4554600000000019E-5</v>
      </c>
    </row>
    <row r="25" spans="1:10" x14ac:dyDescent="0.25">
      <c r="A25" t="s">
        <v>27</v>
      </c>
      <c r="B25" s="13">
        <v>0</v>
      </c>
      <c r="C25" s="1"/>
      <c r="D25" s="11">
        <v>0</v>
      </c>
      <c r="E25" s="12">
        <v>31.998799999999999</v>
      </c>
      <c r="F25" s="5">
        <v>7.1999999999999998E-3</v>
      </c>
      <c r="G25" s="1"/>
      <c r="H25" s="7">
        <f t="shared" si="2"/>
        <v>0</v>
      </c>
      <c r="I25" s="7">
        <f t="shared" si="0"/>
        <v>0</v>
      </c>
      <c r="J25" s="8">
        <f t="shared" si="1"/>
        <v>0</v>
      </c>
    </row>
    <row r="26" spans="1:10" x14ac:dyDescent="0.25">
      <c r="A26" t="s">
        <v>28</v>
      </c>
      <c r="B26" s="13">
        <v>0</v>
      </c>
      <c r="C26" s="1"/>
      <c r="D26" s="11">
        <v>0</v>
      </c>
      <c r="E26" s="12">
        <v>4.0026000000000002</v>
      </c>
      <c r="F26" s="5">
        <v>0</v>
      </c>
      <c r="G26" s="1"/>
      <c r="H26" s="7">
        <f t="shared" si="2"/>
        <v>0</v>
      </c>
      <c r="I26" s="7">
        <f t="shared" si="0"/>
        <v>0</v>
      </c>
      <c r="J26" s="8">
        <f t="shared" si="1"/>
        <v>0</v>
      </c>
    </row>
    <row r="27" spans="1:10" x14ac:dyDescent="0.25">
      <c r="A27" t="s">
        <v>29</v>
      </c>
      <c r="B27" s="13">
        <v>0</v>
      </c>
      <c r="C27" s="1"/>
      <c r="D27" s="11">
        <v>50.31</v>
      </c>
      <c r="E27" s="12">
        <v>18.0153</v>
      </c>
      <c r="F27" s="5">
        <v>6.5100000000000005E-2</v>
      </c>
      <c r="G27" s="1"/>
      <c r="H27" s="7">
        <f t="shared" si="2"/>
        <v>0</v>
      </c>
      <c r="I27" s="7">
        <f t="shared" si="0"/>
        <v>0</v>
      </c>
      <c r="J27" s="8">
        <f t="shared" si="1"/>
        <v>0</v>
      </c>
    </row>
    <row r="28" spans="1:10" x14ac:dyDescent="0.25">
      <c r="B28" s="1"/>
      <c r="C28" s="1"/>
      <c r="D28" s="1"/>
      <c r="E28" s="1"/>
      <c r="F28" s="1"/>
      <c r="G28" s="1"/>
      <c r="H28" s="1"/>
      <c r="I28" s="1"/>
    </row>
    <row r="29" spans="1:10" x14ac:dyDescent="0.25">
      <c r="A29" t="s">
        <v>30</v>
      </c>
      <c r="B29" s="9">
        <f>SUM(B7:B28)</f>
        <v>99.998999999999995</v>
      </c>
      <c r="C29" s="1"/>
      <c r="D29" s="1"/>
      <c r="E29" s="1"/>
      <c r="F29" s="1"/>
      <c r="G29" s="1"/>
      <c r="H29">
        <f t="shared" ref="H29:I29" si="3">SUM(H7:H28)</f>
        <v>1560.4215872000002</v>
      </c>
      <c r="I29">
        <f t="shared" si="3"/>
        <v>27.363629443600001</v>
      </c>
      <c r="J29">
        <f>SUM(J7:J28)</f>
        <v>2.0649090800000002E-2</v>
      </c>
    </row>
    <row r="31" spans="1:10" x14ac:dyDescent="0.25">
      <c r="A31" t="s">
        <v>31</v>
      </c>
      <c r="D31" s="9">
        <f>H29</f>
        <v>1560.4215872000002</v>
      </c>
      <c r="J31" s="1"/>
    </row>
    <row r="32" spans="1:10" x14ac:dyDescent="0.25">
      <c r="A32" t="s">
        <v>32</v>
      </c>
      <c r="D32" s="9">
        <f>$I$29/28.9625</f>
        <v>0.94479514695209332</v>
      </c>
    </row>
    <row r="33" spans="1:4" x14ac:dyDescent="0.25">
      <c r="A33" t="s">
        <v>33</v>
      </c>
      <c r="D33" s="9">
        <f>1-$J$29^2*14.73</f>
        <v>0.99371934967373432</v>
      </c>
    </row>
    <row r="34" spans="1:4" x14ac:dyDescent="0.25">
      <c r="A34" t="s">
        <v>34</v>
      </c>
      <c r="D34" s="9">
        <v>0.99958999999999998</v>
      </c>
    </row>
    <row r="35" spans="1:4" x14ac:dyDescent="0.25">
      <c r="A35" s="2" t="s">
        <v>35</v>
      </c>
      <c r="B35" s="2"/>
      <c r="D35" s="10">
        <f>$D$31*14.73/($D$33*14.696)</f>
        <v>1573.9169297893209</v>
      </c>
    </row>
    <row r="36" spans="1:4" x14ac:dyDescent="0.25">
      <c r="A36" s="2" t="s">
        <v>36</v>
      </c>
      <c r="B36" s="2"/>
      <c r="D36" s="10">
        <f>$D$32*$D$34/$D$33</f>
        <v>0.95037676508152757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6"/>
  <sheetViews>
    <sheetView workbookViewId="0">
      <selection activeCell="C27" sqref="C27"/>
    </sheetView>
  </sheetViews>
  <sheetFormatPr defaultRowHeight="15" x14ac:dyDescent="0.25"/>
  <cols>
    <col min="1" max="1" width="16.5703125" customWidth="1"/>
    <col min="3" max="3" width="11.7109375" customWidth="1"/>
    <col min="4" max="4" width="12" customWidth="1"/>
    <col min="7" max="7" width="2.5703125" customWidth="1"/>
  </cols>
  <sheetData>
    <row r="1" spans="1:10" ht="15.75" x14ac:dyDescent="0.25">
      <c r="A1" s="3" t="s">
        <v>38</v>
      </c>
    </row>
    <row r="2" spans="1:10" x14ac:dyDescent="0.25">
      <c r="A2" t="s">
        <v>39</v>
      </c>
    </row>
    <row r="3" spans="1:10" x14ac:dyDescent="0.25">
      <c r="D3" s="2"/>
    </row>
    <row r="4" spans="1:10" x14ac:dyDescent="0.25">
      <c r="A4" s="4" t="s">
        <v>0</v>
      </c>
      <c r="B4" s="4" t="s">
        <v>40</v>
      </c>
      <c r="C4" s="4" t="s">
        <v>41</v>
      </c>
      <c r="D4" s="4"/>
      <c r="E4" s="4"/>
      <c r="F4" s="4"/>
      <c r="G4" s="4"/>
      <c r="H4" s="4"/>
      <c r="I4" s="4"/>
      <c r="J4" s="4"/>
    </row>
    <row r="5" spans="1:10" x14ac:dyDescent="0.25">
      <c r="A5" s="4" t="s">
        <v>5</v>
      </c>
      <c r="B5" s="4" t="s">
        <v>6</v>
      </c>
      <c r="C5" s="4" t="s">
        <v>6</v>
      </c>
      <c r="D5" s="4"/>
      <c r="E5" s="4"/>
      <c r="F5" s="2"/>
      <c r="G5" s="4"/>
      <c r="H5" s="4"/>
      <c r="I5" s="4"/>
      <c r="J5" s="4"/>
    </row>
    <row r="7" spans="1:10" x14ac:dyDescent="0.25">
      <c r="A7" t="s">
        <v>9</v>
      </c>
      <c r="B7" s="13">
        <v>89.2</v>
      </c>
      <c r="C7" s="1">
        <f>B7*(100-B$27)/B$29</f>
        <v>86.992079207920796</v>
      </c>
      <c r="D7" s="14"/>
      <c r="E7" s="15"/>
      <c r="F7" s="16"/>
      <c r="G7" s="17"/>
      <c r="H7" s="17"/>
      <c r="I7" s="17"/>
      <c r="J7" s="16"/>
    </row>
    <row r="8" spans="1:10" x14ac:dyDescent="0.25">
      <c r="A8" t="s">
        <v>10</v>
      </c>
      <c r="B8" s="13">
        <v>7.8</v>
      </c>
      <c r="C8" s="1">
        <f t="shared" ref="C8:C26" si="0">B8*(100-B$27)/B$29</f>
        <v>7.6069306930693061</v>
      </c>
      <c r="D8" s="14"/>
      <c r="E8" s="15"/>
      <c r="F8" s="16"/>
      <c r="G8" s="17"/>
      <c r="H8" s="17"/>
      <c r="I8" s="17"/>
      <c r="J8" s="16"/>
    </row>
    <row r="9" spans="1:10" x14ac:dyDescent="0.25">
      <c r="A9" t="s">
        <v>11</v>
      </c>
      <c r="B9" s="13">
        <v>3</v>
      </c>
      <c r="C9" s="1">
        <f t="shared" si="0"/>
        <v>2.9257425742574257</v>
      </c>
      <c r="D9" s="14"/>
      <c r="E9" s="15"/>
      <c r="F9" s="16"/>
      <c r="G9" s="17"/>
      <c r="H9" s="17"/>
      <c r="I9" s="17"/>
      <c r="J9" s="16"/>
    </row>
    <row r="10" spans="1:10" x14ac:dyDescent="0.25">
      <c r="A10" t="s">
        <v>12</v>
      </c>
      <c r="B10" s="13">
        <v>0</v>
      </c>
      <c r="C10" s="1">
        <f t="shared" si="0"/>
        <v>0</v>
      </c>
      <c r="D10" s="14"/>
      <c r="E10" s="15"/>
      <c r="F10" s="16"/>
      <c r="G10" s="17"/>
      <c r="H10" s="17"/>
      <c r="I10" s="17"/>
      <c r="J10" s="16"/>
    </row>
    <row r="11" spans="1:10" x14ac:dyDescent="0.25">
      <c r="A11" t="s">
        <v>13</v>
      </c>
      <c r="B11" s="13">
        <v>0</v>
      </c>
      <c r="C11" s="1">
        <f t="shared" si="0"/>
        <v>0</v>
      </c>
      <c r="D11" s="14"/>
      <c r="E11" s="15"/>
      <c r="F11" s="16"/>
      <c r="G11" s="17"/>
      <c r="H11" s="17"/>
      <c r="I11" s="17"/>
      <c r="J11" s="16"/>
    </row>
    <row r="12" spans="1:10" x14ac:dyDescent="0.25">
      <c r="A12" t="s">
        <v>14</v>
      </c>
      <c r="B12" s="13">
        <v>1</v>
      </c>
      <c r="C12" s="1">
        <f t="shared" si="0"/>
        <v>0.97524752475247523</v>
      </c>
      <c r="D12" s="14"/>
      <c r="E12" s="15"/>
      <c r="F12" s="16"/>
      <c r="G12" s="17"/>
      <c r="H12" s="17"/>
      <c r="I12" s="17"/>
      <c r="J12" s="16"/>
    </row>
    <row r="13" spans="1:10" x14ac:dyDescent="0.25">
      <c r="A13" t="s">
        <v>15</v>
      </c>
      <c r="B13" s="13">
        <v>0</v>
      </c>
      <c r="C13" s="1">
        <f t="shared" si="0"/>
        <v>0</v>
      </c>
      <c r="D13" s="14"/>
      <c r="E13" s="15"/>
      <c r="F13" s="16"/>
      <c r="G13" s="17"/>
      <c r="H13" s="17"/>
      <c r="I13" s="17"/>
      <c r="J13" s="16"/>
    </row>
    <row r="14" spans="1:10" x14ac:dyDescent="0.25">
      <c r="A14" t="s">
        <v>16</v>
      </c>
      <c r="B14" s="13">
        <v>0</v>
      </c>
      <c r="C14" s="1">
        <f t="shared" si="0"/>
        <v>0</v>
      </c>
      <c r="D14" s="14"/>
      <c r="E14" s="15"/>
      <c r="F14" s="16"/>
      <c r="G14" s="17"/>
      <c r="H14" s="17"/>
      <c r="I14" s="17"/>
      <c r="J14" s="16"/>
    </row>
    <row r="15" spans="1:10" x14ac:dyDescent="0.25">
      <c r="A15" t="s">
        <v>17</v>
      </c>
      <c r="B15" s="13">
        <v>0</v>
      </c>
      <c r="C15" s="1">
        <f t="shared" si="0"/>
        <v>0</v>
      </c>
      <c r="D15" s="14"/>
      <c r="E15" s="15"/>
      <c r="F15" s="17"/>
      <c r="G15" s="17"/>
      <c r="H15" s="17"/>
      <c r="I15" s="17"/>
      <c r="J15" s="16"/>
    </row>
    <row r="16" spans="1:10" x14ac:dyDescent="0.25">
      <c r="A16" t="s">
        <v>18</v>
      </c>
      <c r="B16" s="13">
        <v>0</v>
      </c>
      <c r="C16" s="1">
        <f t="shared" si="0"/>
        <v>0</v>
      </c>
      <c r="D16" s="14"/>
      <c r="E16" s="15"/>
      <c r="F16" s="16"/>
      <c r="G16" s="17"/>
      <c r="H16" s="17"/>
      <c r="I16" s="17"/>
      <c r="J16" s="16"/>
    </row>
    <row r="17" spans="1:10" x14ac:dyDescent="0.25">
      <c r="A17" t="s">
        <v>19</v>
      </c>
      <c r="B17" s="13">
        <v>0</v>
      </c>
      <c r="C17" s="1">
        <f t="shared" si="0"/>
        <v>0</v>
      </c>
      <c r="D17" s="14"/>
      <c r="E17" s="15"/>
      <c r="F17" s="16"/>
      <c r="G17" s="17"/>
      <c r="H17" s="17"/>
      <c r="I17" s="17"/>
      <c r="J17" s="16"/>
    </row>
    <row r="18" spans="1:10" x14ac:dyDescent="0.25">
      <c r="A18" t="s">
        <v>20</v>
      </c>
      <c r="B18" s="13">
        <v>0</v>
      </c>
      <c r="C18" s="1">
        <f t="shared" si="0"/>
        <v>0</v>
      </c>
      <c r="D18" s="14"/>
      <c r="E18" s="15"/>
      <c r="F18" s="16"/>
      <c r="G18" s="17"/>
      <c r="H18" s="17"/>
      <c r="I18" s="17"/>
      <c r="J18" s="16"/>
    </row>
    <row r="19" spans="1:10" x14ac:dyDescent="0.25">
      <c r="A19" t="s">
        <v>21</v>
      </c>
      <c r="B19" s="13">
        <v>0</v>
      </c>
      <c r="C19" s="1">
        <f t="shared" si="0"/>
        <v>0</v>
      </c>
      <c r="D19" s="14"/>
      <c r="E19" s="15"/>
      <c r="F19" s="16"/>
      <c r="G19" s="17"/>
      <c r="H19" s="17"/>
      <c r="I19" s="17"/>
      <c r="J19" s="16"/>
    </row>
    <row r="20" spans="1:10" x14ac:dyDescent="0.25">
      <c r="A20" t="s">
        <v>22</v>
      </c>
      <c r="B20" s="13">
        <v>0</v>
      </c>
      <c r="C20" s="1">
        <f t="shared" si="0"/>
        <v>0</v>
      </c>
      <c r="D20" s="14"/>
      <c r="E20" s="15"/>
      <c r="F20" s="17"/>
      <c r="G20" s="17"/>
      <c r="H20" s="17"/>
      <c r="I20" s="17"/>
      <c r="J20" s="16"/>
    </row>
    <row r="21" spans="1:10" x14ac:dyDescent="0.25">
      <c r="A21" t="s">
        <v>23</v>
      </c>
      <c r="B21" s="13">
        <v>0</v>
      </c>
      <c r="C21" s="1">
        <f t="shared" si="0"/>
        <v>0</v>
      </c>
      <c r="D21" s="14"/>
      <c r="E21" s="15"/>
      <c r="F21" s="17"/>
      <c r="G21" s="17"/>
      <c r="H21" s="17"/>
      <c r="I21" s="17"/>
      <c r="J21" s="16"/>
    </row>
    <row r="22" spans="1:10" x14ac:dyDescent="0.25">
      <c r="A22" t="s">
        <v>24</v>
      </c>
      <c r="B22" s="13">
        <v>0</v>
      </c>
      <c r="C22" s="1">
        <f t="shared" si="0"/>
        <v>0</v>
      </c>
      <c r="D22" s="14"/>
      <c r="E22" s="15"/>
      <c r="F22" s="16"/>
      <c r="G22" s="17"/>
      <c r="H22" s="17"/>
      <c r="I22" s="17"/>
      <c r="J22" s="16"/>
    </row>
    <row r="23" spans="1:10" x14ac:dyDescent="0.25">
      <c r="A23" t="s">
        <v>25</v>
      </c>
      <c r="B23" s="13">
        <v>0</v>
      </c>
      <c r="C23" s="1">
        <f t="shared" si="0"/>
        <v>0</v>
      </c>
      <c r="D23" s="14"/>
      <c r="E23" s="15"/>
      <c r="F23" s="17"/>
      <c r="G23" s="16"/>
      <c r="H23" s="17"/>
      <c r="I23" s="17"/>
      <c r="J23" s="16"/>
    </row>
    <row r="24" spans="1:10" x14ac:dyDescent="0.25">
      <c r="A24" t="s">
        <v>26</v>
      </c>
      <c r="B24" s="13">
        <v>0</v>
      </c>
      <c r="C24" s="1">
        <f t="shared" si="0"/>
        <v>0</v>
      </c>
      <c r="D24" s="14"/>
      <c r="E24" s="15"/>
      <c r="F24" s="16"/>
      <c r="G24" s="17"/>
      <c r="H24" s="17"/>
      <c r="I24" s="17"/>
      <c r="J24" s="16"/>
    </row>
    <row r="25" spans="1:10" x14ac:dyDescent="0.25">
      <c r="A25" t="s">
        <v>27</v>
      </c>
      <c r="B25" s="13">
        <v>0</v>
      </c>
      <c r="C25" s="1">
        <f t="shared" si="0"/>
        <v>0</v>
      </c>
      <c r="D25" s="14"/>
      <c r="E25" s="15"/>
      <c r="F25" s="17"/>
      <c r="G25" s="17"/>
      <c r="H25" s="17"/>
      <c r="I25" s="17"/>
      <c r="J25" s="16"/>
    </row>
    <row r="26" spans="1:10" x14ac:dyDescent="0.25">
      <c r="A26" t="s">
        <v>28</v>
      </c>
      <c r="B26" s="13">
        <v>0</v>
      </c>
      <c r="C26" s="1">
        <f t="shared" si="0"/>
        <v>0</v>
      </c>
      <c r="D26" s="14"/>
      <c r="E26" s="15"/>
      <c r="F26" s="17"/>
      <c r="G26" s="17"/>
      <c r="H26" s="17"/>
      <c r="I26" s="17"/>
      <c r="J26" s="16"/>
    </row>
    <row r="27" spans="1:10" x14ac:dyDescent="0.25">
      <c r="A27" t="s">
        <v>29</v>
      </c>
      <c r="B27" s="18">
        <v>1.5</v>
      </c>
      <c r="C27" s="19">
        <f t="shared" ref="C27" si="1">B27*100/B$29</f>
        <v>1.4851485148514851</v>
      </c>
      <c r="D27" s="14" t="s">
        <v>43</v>
      </c>
      <c r="E27" s="15"/>
      <c r="F27" s="17"/>
      <c r="G27" s="17"/>
      <c r="H27" s="17"/>
      <c r="I27" s="17"/>
      <c r="J27" s="16"/>
    </row>
    <row r="28" spans="1:10" x14ac:dyDescent="0.25">
      <c r="B28" s="1"/>
      <c r="C28" s="1"/>
      <c r="D28" s="1"/>
      <c r="E28" s="1"/>
      <c r="F28" s="1"/>
      <c r="G28" s="1"/>
      <c r="H28" s="1"/>
      <c r="I28" s="1"/>
    </row>
    <row r="29" spans="1:10" x14ac:dyDescent="0.25">
      <c r="A29" t="s">
        <v>42</v>
      </c>
      <c r="B29" s="9">
        <f>SUM(B7:B26)</f>
        <v>101</v>
      </c>
      <c r="C29" s="9">
        <f>SUM(C7:C28)</f>
        <v>99.985148514851488</v>
      </c>
      <c r="D29" s="1"/>
      <c r="E29" s="1"/>
      <c r="F29" s="1"/>
      <c r="G29" s="1"/>
    </row>
    <row r="30" spans="1:10" x14ac:dyDescent="0.25">
      <c r="A30" t="s">
        <v>4</v>
      </c>
      <c r="B30" s="9">
        <f>B$29+B$27</f>
        <v>102.5</v>
      </c>
    </row>
    <row r="31" spans="1:10" x14ac:dyDescent="0.25">
      <c r="B31" s="9"/>
      <c r="D31" s="9"/>
      <c r="J31" s="1"/>
    </row>
    <row r="32" spans="1:10" x14ac:dyDescent="0.25">
      <c r="D32" s="9"/>
    </row>
    <row r="33" spans="1:4" x14ac:dyDescent="0.25">
      <c r="D33" s="9"/>
    </row>
    <row r="34" spans="1:4" x14ac:dyDescent="0.25">
      <c r="D34" s="9"/>
    </row>
    <row r="35" spans="1:4" x14ac:dyDescent="0.25">
      <c r="A35" s="2"/>
      <c r="B35" s="2"/>
      <c r="D35" s="10"/>
    </row>
    <row r="36" spans="1:4" x14ac:dyDescent="0.25">
      <c r="A36" s="2"/>
      <c r="B36" s="2"/>
      <c r="D36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4:E10"/>
  <sheetViews>
    <sheetView workbookViewId="0">
      <selection activeCell="F25" sqref="F25"/>
    </sheetView>
  </sheetViews>
  <sheetFormatPr defaultRowHeight="15" x14ac:dyDescent="0.25"/>
  <sheetData>
    <row r="4" spans="2:5" ht="15.75" thickBot="1" x14ac:dyDescent="0.3"/>
    <row r="5" spans="2:5" ht="15.75" thickBot="1" x14ac:dyDescent="0.3">
      <c r="B5" s="20">
        <v>0.55479999999999996</v>
      </c>
      <c r="C5" s="21">
        <v>0.55600000000000005</v>
      </c>
      <c r="D5">
        <f>B5-C5</f>
        <v>-1.2000000000000899E-3</v>
      </c>
      <c r="E5">
        <f>(1/B5^0.5-1/C5^0.5)*100/1/C5^0.5</f>
        <v>0.19440407236001678</v>
      </c>
    </row>
    <row r="6" spans="2:5" ht="15.75" thickBot="1" x14ac:dyDescent="0.3">
      <c r="B6" s="22">
        <v>0.6</v>
      </c>
      <c r="C6" s="23">
        <v>0.60060000000000002</v>
      </c>
      <c r="D6">
        <f t="shared" ref="D6:D10" si="0">B6-C6</f>
        <v>-6.0000000000004494E-4</v>
      </c>
      <c r="E6">
        <f t="shared" ref="E6:E10" si="1">(1/B6^0.5-1/C6^0.5)*100/1/C6^0.5</f>
        <v>8.3229281129019742E-2</v>
      </c>
    </row>
    <row r="7" spans="2:5" ht="15.75" thickBot="1" x14ac:dyDescent="0.3">
      <c r="B7" s="22">
        <v>0.62209999999999999</v>
      </c>
      <c r="C7" s="23">
        <v>0.62229999999999996</v>
      </c>
      <c r="D7">
        <f t="shared" si="0"/>
        <v>-1.9999999999997797E-4</v>
      </c>
      <c r="E7">
        <f t="shared" si="1"/>
        <v>2.5828851559459531E-2</v>
      </c>
    </row>
    <row r="8" spans="2:5" ht="15.75" thickBot="1" x14ac:dyDescent="0.3">
      <c r="B8" s="22">
        <v>0.7</v>
      </c>
      <c r="C8" s="23">
        <v>0.69910000000000005</v>
      </c>
      <c r="D8">
        <f t="shared" si="0"/>
        <v>8.9999999999990088E-4</v>
      </c>
      <c r="E8">
        <f t="shared" si="1"/>
        <v>-9.198453847123024E-2</v>
      </c>
    </row>
    <row r="9" spans="2:5" ht="15.75" thickBot="1" x14ac:dyDescent="0.3">
      <c r="B9" s="22">
        <v>0.8</v>
      </c>
      <c r="C9" s="23">
        <v>0.79759999999999998</v>
      </c>
      <c r="D9">
        <f t="shared" si="0"/>
        <v>2.4000000000000687E-3</v>
      </c>
      <c r="E9">
        <f t="shared" si="1"/>
        <v>-0.18820545269190536</v>
      </c>
    </row>
    <row r="10" spans="2:5" ht="15.75" thickBot="1" x14ac:dyDescent="0.3">
      <c r="B10" s="22">
        <v>0.9</v>
      </c>
      <c r="C10" s="23">
        <v>0.89629999999999999</v>
      </c>
      <c r="D10">
        <f t="shared" si="0"/>
        <v>3.7000000000000366E-3</v>
      </c>
      <c r="E10">
        <f t="shared" si="1"/>
        <v>-0.22957408945055874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Heating Values</vt:lpstr>
      <vt:lpstr>Heating Values Example</vt:lpstr>
      <vt:lpstr>G.C. Fidelity Check</vt:lpstr>
      <vt:lpstr>Sheet2</vt:lpstr>
      <vt:lpstr>Sheet3</vt:lpstr>
      <vt:lpstr>normalize</vt:lpstr>
      <vt:lpstr>Sheet4</vt:lpstr>
      <vt:lpstr>'Heating Values'!Print_Area</vt:lpstr>
    </vt:vector>
  </TitlesOfParts>
  <Company>Bureau of Land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Estabrook</dc:creator>
  <cp:lastModifiedBy>pramstet</cp:lastModifiedBy>
  <cp:lastPrinted>2018-07-20T18:35:20Z</cp:lastPrinted>
  <dcterms:created xsi:type="dcterms:W3CDTF">2012-02-07T18:38:22Z</dcterms:created>
  <dcterms:modified xsi:type="dcterms:W3CDTF">2018-09-19T14:49:19Z</dcterms:modified>
</cp:coreProperties>
</file>